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odeName="ThisWorkbook" autoCompressPictures="0"/>
  <bookViews>
    <workbookView xWindow="2200" yWindow="1560" windowWidth="25600" windowHeight="16060" tabRatio="822"/>
  </bookViews>
  <sheets>
    <sheet name="Control Panel" sheetId="54" r:id="rId1"/>
    <sheet name="Graph Data" sheetId="55" r:id="rId2"/>
    <sheet name="SUMMARY" sheetId="56" r:id="rId3"/>
    <sheet name="HGMD Unit Costs" sheetId="53" r:id="rId4"/>
    <sheet name="Components" sheetId="58" r:id="rId5"/>
    <sheet name="FF Deposit" sheetId="59" r:id="rId6"/>
    <sheet name="FF Balance" sheetId="60" r:id="rId7"/>
    <sheet name="Testing" sheetId="62" r:id="rId8"/>
  </sheets>
  <definedNames>
    <definedName name="_48ingriddlecostyear">'HGMD Unit Costs'!#REF!</definedName>
    <definedName name="_48ingriddlelife">'HGMD Unit Costs'!#REF!</definedName>
    <definedName name="_48ingriddleunitcost">'HGMD Unit Costs'!#REF!</definedName>
    <definedName name="_4unitwellwarmercostyear">'HGMD Unit Costs'!#REF!</definedName>
    <definedName name="_4unitwellwarmerlife">'HGMD Unit Costs'!#REF!</definedName>
    <definedName name="_4unitwellwarmerunitcost">'HGMD Unit Costs'!#REF!</definedName>
    <definedName name="_6burnerstovewovencostyear">'HGMD Unit Costs'!#REF!</definedName>
    <definedName name="_6burnerstovewovenlife">'HGMD Unit Costs'!#REF!</definedName>
    <definedName name="_6burnerstovewovenunitcost">'HGMD Unit Costs'!#REF!</definedName>
    <definedName name="_xlnm._FilterDatabase" localSheetId="4" hidden="1">Components!$A$1:$K$198</definedName>
    <definedName name="AeratorShatter4CostYear">'HGMD Unit Costs'!$C$65</definedName>
    <definedName name="AeratorShatter4Life">'HGMD Unit Costs'!$E$65</definedName>
    <definedName name="AeratorShatter4UnitCost">'HGMD Unit Costs'!$D$65</definedName>
    <definedName name="aerifierfairwaycostyear">'HGMD Unit Costs'!$C$5</definedName>
    <definedName name="aerifierfairwaylife">'HGMD Unit Costs'!$E$5</definedName>
    <definedName name="aerifierfairwayunitcost">'HGMD Unit Costs'!$D$5</definedName>
    <definedName name="aerifiergreenscostyear">'HGMD Unit Costs'!$C$6</definedName>
    <definedName name="aerifiergreenslife">'HGMD Unit Costs'!$E$6</definedName>
    <definedName name="aerifiergreensunitcost">'HGMD Unit Costs'!$D$6</definedName>
    <definedName name="AnalysisYear">'Control Panel'!$C$3</definedName>
    <definedName name="auditoriumchairscostyear">'HGMD Unit Costs'!$C$7</definedName>
    <definedName name="auditoriumchairslife">'HGMD Unit Costs'!$E$7</definedName>
    <definedName name="auditoriumchairsunitcost">'HGMD Unit Costs'!$D$7</definedName>
    <definedName name="auditoriumcurtaincostyear">'HGMD Unit Costs'!$C$8</definedName>
    <definedName name="auditoriumcurtainlife">'HGMD Unit Costs'!$E$8</definedName>
    <definedName name="auditoriumcurtainunitcost">'HGMD Unit Costs'!$D$8</definedName>
    <definedName name="auditoriumsoundcostyear">'HGMD Unit Costs'!$C$9</definedName>
    <definedName name="auditoriumsoundlife">'HGMD Unit Costs'!$E$9</definedName>
    <definedName name="auditoriumsoundunitcost">'HGMD Unit Costs'!$D$9</definedName>
    <definedName name="bedknifegrindercostyear">'HGMD Unit Costs'!$C$10</definedName>
    <definedName name="bedknifegrinderlife">'HGMD Unit Costs'!$E$10</definedName>
    <definedName name="bedknifegrinderunitcost">'HGMD Unit Costs'!$D$10</definedName>
    <definedName name="billiardtablescostyear">'HGMD Unit Costs'!$C$11</definedName>
    <definedName name="billiardtableslife">'HGMD Unit Costs'!$E$11</definedName>
    <definedName name="billiardtablesunitcost">'HGMD Unit Costs'!$D$11</definedName>
    <definedName name="blowercostyear">'HGMD Unit Costs'!$C$12</definedName>
    <definedName name="blowerlife">'HGMD Unit Costs'!$E$12</definedName>
    <definedName name="blowerunitcost">'HGMD Unit Costs'!$D$12</definedName>
    <definedName name="boardroomAVcostyear">'HGMD Unit Costs'!$C$13</definedName>
    <definedName name="boardroomavlife">'HGMD Unit Costs'!$E$13</definedName>
    <definedName name="boardroomavunitcost">'HGMD Unit Costs'!$D$13</definedName>
    <definedName name="boilerclubcostyear">'HGMD Unit Costs'!$C$14</definedName>
    <definedName name="boilerclublife">'HGMD Unit Costs'!$E$14</definedName>
    <definedName name="boilerclubunitcost">'HGMD Unit Costs'!$D$14</definedName>
    <definedName name="boilerindoorpoolcostyear">'HGMD Unit Costs'!$C$16</definedName>
    <definedName name="boilerindoorpoollife">'HGMD Unit Costs'!$E$16</definedName>
    <definedName name="boilerindoorpoolunitcost">'HGMD Unit Costs'!$D$16</definedName>
    <definedName name="boileroutdoorpoolcostyear">'HGMD Unit Costs'!$C$17</definedName>
    <definedName name="boileroutdoorpoollife">'HGMD Unit Costs'!$E$17</definedName>
    <definedName name="boileroutdoorpoolunitcost">'HGMD Unit Costs'!$D$17</definedName>
    <definedName name="boilerrendezvouscostyear">'HGMD Unit Costs'!$C$15</definedName>
    <definedName name="boilerrendezvouslife">'HGMD Unit Costs'!$E$15</definedName>
    <definedName name="boilerrendezvousunitcost">'HGMD Unit Costs'!$D$15</definedName>
    <definedName name="BondUseInterestRate">'Control Panel'!$N$6</definedName>
    <definedName name="BondUseLife">'Control Panel'!$N$7</definedName>
    <definedName name="BondUseOriginFee">'Control Panel'!$N$8</definedName>
    <definedName name="BondUseYear">'Control Panel'!$N$9</definedName>
    <definedName name="Bunkerrakecostyear">'HGMD Unit Costs'!$C$111</definedName>
    <definedName name="Bunkerrakelife">'HGMD Unit Costs'!$E$111</definedName>
    <definedName name="Bunkerrakeunitcost">'HGMD Unit Costs'!$D$111</definedName>
    <definedName name="CapitalDepositReduction">#REF!</definedName>
    <definedName name="CapitalDepositReductionHGMD">'Control Panel'!$J$5</definedName>
    <definedName name="carpetgolfshopbagstorageflooringcostyear">'HGMD Unit Costs'!$C$18</definedName>
    <definedName name="cartwashercostyear">'HGMD Unit Costs'!$C$19</definedName>
    <definedName name="cartwasherlife">'HGMD Unit Costs'!$E$19</definedName>
    <definedName name="cartwasherunitcost">'HGMD Unit Costs'!$D$19</definedName>
    <definedName name="chairscafelobbycostyear">'HGMD Unit Costs'!$C$91</definedName>
    <definedName name="chairslobbycafelife">'HGMD Unit Costs'!$E$91</definedName>
    <definedName name="Chairslobbycafeunitcost">'HGMD Unit Costs'!$D$91</definedName>
    <definedName name="chairslobbycostear">'HGMD Unit Costs'!$C$90</definedName>
    <definedName name="chairslobbylife">'HGMD Unit Costs'!$E$90</definedName>
    <definedName name="chairslobbyunitcost">'HGMD Unit Costs'!$D$90</definedName>
    <definedName name="chefservingtablecostyear">'HGMD Unit Costs'!$C$20</definedName>
    <definedName name="cheftablelife">'HGMD Unit Costs'!$E$20</definedName>
    <definedName name="cheftableunitcost">'HGMD Unit Costs'!$D$20</definedName>
    <definedName name="chemicalcontrolsystemcostyear">'HGMD Unit Costs'!$C$21</definedName>
    <definedName name="chemicalcontrolsystemlife">'HGMD Unit Costs'!$E$21</definedName>
    <definedName name="chemicalcontrolsystemunitcost">'HGMD Unit Costs'!$D$21</definedName>
    <definedName name="clubcarpeting5yearcostyear">'HGMD Unit Costs'!$C$23</definedName>
    <definedName name="clubcarpeting5yearlife">'HGMD Unit Costs'!$E$23</definedName>
    <definedName name="clubcarpeting5yearunitcost">'HGMD Unit Costs'!$D$23</definedName>
    <definedName name="clubcarpeting7yearcostyear">'HGMD Unit Costs'!$C$24</definedName>
    <definedName name="clubcarpeting7yearlife">'HGMD Unit Costs'!$E$24</definedName>
    <definedName name="clubcarpeting7yearunitcost">'HGMD Unit Costs'!$D$24</definedName>
    <definedName name="clubkilncostyear">'HGMD Unit Costs'!$C$25</definedName>
    <definedName name="clubkilnslife">'HGMD Unit Costs'!$E$25</definedName>
    <definedName name="clubkilnunitcost">'HGMD Unit Costs'!$D$25</definedName>
    <definedName name="clubpoolPDUcostyear">'HGMD Unit Costs'!$C$26</definedName>
    <definedName name="clubpoolPDUlife">'HGMD Unit Costs'!$E$26</definedName>
    <definedName name="clubpoolPDUunitcost">'HGMD Unit Costs'!$D$26</definedName>
    <definedName name="clubposcostyear">'HGMD Unit Costs'!$C$22</definedName>
    <definedName name="clubPOSlife">'HGMD Unit Costs'!$E$22</definedName>
    <definedName name="clubposunitcost">'HGMD Unit Costs'!$D$22</definedName>
    <definedName name="clupoolPDUcostyear">'HGMD Unit Costs'!$C$25</definedName>
    <definedName name="ComponentsSortGroup">Components!$A$3:$AZ$184</definedName>
    <definedName name="compressor1poolcostyear">'HGMD Unit Costs'!$C$27</definedName>
    <definedName name="compressor1poollife">'HGMD Unit Costs'!$E$27</definedName>
    <definedName name="compressor1poolunitcost">'HGMD Unit Costs'!$D$27</definedName>
    <definedName name="condensingcoilpoolcostyear">'HGMD Unit Costs'!$C$28</definedName>
    <definedName name="condensingcoilpoollife">'HGMD Unit Costs'!$E$28</definedName>
    <definedName name="condensingcoilpoolunitcost">'HGMD Unit Costs'!$D$28</definedName>
    <definedName name="convectionovencostyear">'HGMD Unit Costs'!$C$29</definedName>
    <definedName name="convectionovenlife">'HGMD Unit Costs'!$E$29</definedName>
    <definedName name="Cost_Year">'HGMD Unit Costs'!$C$4:$C$8</definedName>
    <definedName name="covectionovenunitcost">'HGMD Unit Costs'!$D$29</definedName>
    <definedName name="_xlnm.Criteria">SUMMARY!#REF!</definedName>
    <definedName name="_xlnm.Database">Components!$A$1:$AZ$192</definedName>
    <definedName name="deckindoorpoolcostyear">'HGMD Unit Costs'!$C$30</definedName>
    <definedName name="deckindoorpoollife">'HGMD Unit Costs'!$E$30</definedName>
    <definedName name="deckindoorpoolunitcost">'HGMD Unit Costs'!$D$30</definedName>
    <definedName name="deckoutdoorpoolcostyear">'HGMD Unit Costs'!$C$31</definedName>
    <definedName name="deckoutdoorpoollife">'HGMD Unit Costs'!$E$31</definedName>
    <definedName name="deckoutdoorpoolunitcost">'HGMD Unit Costs'!$D$31</definedName>
    <definedName name="Deposits">'FF Deposit'!$A$1:$AQ$371</definedName>
    <definedName name="diggertrencherlife">'HGMD Unit Costs'!$E$32</definedName>
    <definedName name="diggertrenchunitcost">'HGMD Unit Costs'!$D$32</definedName>
    <definedName name="diiggertrenchcostyear">'HGMD Unit Costs'!$C$32</definedName>
    <definedName name="dimmingsystemauditoriumcostyear">'HGMD Unit Costs'!$C$33</definedName>
    <definedName name="dimmingsystemauditoriumlife">'HGMD Unit Costs'!$E$33</definedName>
    <definedName name="dimmingsystemauditoriumunitcost">'HGMD Unit Costs'!$D$33</definedName>
    <definedName name="directionalsignscostyear">'HGMD Unit Costs'!$C$34</definedName>
    <definedName name="directionalsignslife">'HGMD Unit Costs'!$E$34</definedName>
    <definedName name="directionalsignsunitcost">'HGMD Unit Costs'!$D$34</definedName>
    <definedName name="dishwashercostyear">'HGMD Unit Costs'!#REF!</definedName>
    <definedName name="dishwasherlife">'HGMD Unit Costs'!#REF!</definedName>
    <definedName name="dishwasherunitcost">'HGMD Unit Costs'!#REF!</definedName>
    <definedName name="dressertopcostyear">'HGMD Unit Costs'!$C$35</definedName>
    <definedName name="dressertoplife">'HGMD Unit Costs'!$E$35</definedName>
    <definedName name="dressertopunitcost">'HGMD Unit Costs'!$D$35</definedName>
    <definedName name="each">'HGMD Unit Costs'!#REF!</definedName>
    <definedName name="EarningsRate">'Control Panel'!$C$5</definedName>
    <definedName name="EarningsRateBase">'Control Panel'!$C$6</definedName>
    <definedName name="EarningsRateHigh">'Control Panel'!$C$7</definedName>
    <definedName name="EarningsRateSplit">'Control Panel'!$C$8</definedName>
    <definedName name="elevatorcostyear">'HGMD Unit Costs'!$C$36</definedName>
    <definedName name="elevatorlife">'HGMD Unit Costs'!$E$36</definedName>
    <definedName name="elevatormotorcostyear">'HGMD Unit Costs'!$C$37</definedName>
    <definedName name="elevatormotorlife">'HGMD Unit Costs'!$E$37</definedName>
    <definedName name="elevatormotorunitcost">'HGMD Unit Costs'!$D$37</definedName>
    <definedName name="elevatortankcostyear">'HGMD Unit Costs'!$C$38</definedName>
    <definedName name="elevatortanklife">'HGMD Unit Costs'!$E$38</definedName>
    <definedName name="elevatortankunitcost">'HGMD Unit Costs'!$D$38</definedName>
    <definedName name="elevatorunitcost">'HGMD Unit Costs'!$D$36</definedName>
    <definedName name="EndYear">'Control Panel'!$J$6</definedName>
    <definedName name="evaporativecoilpoollife">'HGMD Unit Costs'!$E$39</definedName>
    <definedName name="evaporativecoilpoolunitcost">'HGMD Unit Costs'!$D$39</definedName>
    <definedName name="evaporatovecoilpoolcostyear">'HGMD Unit Costs'!$C$39</definedName>
    <definedName name="exerciseequipcardiocostyear">'HGMD Unit Costs'!#REF!</definedName>
    <definedName name="exerciseequipcardiounitcost">'HGMD Unit Costs'!#REF!</definedName>
    <definedName name="exerciseequiplife">'HGMD Unit Costs'!#REF!</definedName>
    <definedName name="exerciseequipstrengthcostyear">'HGMD Unit Costs'!$C$40</definedName>
    <definedName name="exerciseequipstrengthlife">'HGMD Unit Costs'!$E$40</definedName>
    <definedName name="exerciseequipstrengthunitcost">'HGMD Unit Costs'!$D$40</definedName>
    <definedName name="exerciseroomfloorcostyear">'HGMD Unit Costs'!$C$41</definedName>
    <definedName name="exerciseroomfloorlife">'HGMD Unit Costs'!$E$41</definedName>
    <definedName name="exerciseroomfloorunitcost">'HGMD Unit Costs'!$D$41</definedName>
    <definedName name="fencegardencostyear">'HGMD Unit Costs'!$C$43</definedName>
    <definedName name="fencegardenlife">'HGMD Unit Costs'!$E$43</definedName>
    <definedName name="fencegardenunitcost">'HGMD Unit Costs'!$D$43</definedName>
    <definedName name="fencelevelspreadercostyear">'HGMD Unit Costs'!$C$42</definedName>
    <definedName name="fencelevelspreaderlife">'HGMD Unit Costs'!$E$42</definedName>
    <definedName name="fencelevelspreaderunitcost">'HGMD Unit Costs'!$D$42</definedName>
    <definedName name="fenceoutdoorpoolcostyear">'HGMD Unit Costs'!$C$44</definedName>
    <definedName name="fenceoutdoorpoollife">'HGMD Unit Costs'!$E$44</definedName>
    <definedName name="fenceoutdoorpoolunitcost">'HGMD Unit Costs'!$D$44</definedName>
    <definedName name="fenceshopcostyear">'HGMD Unit Costs'!$C$45</definedName>
    <definedName name="fenceshoplife">'HGMD Unit Costs'!$E$45</definedName>
    <definedName name="fenceshopunitcost">'HGMD Unit Costs'!$D$45</definedName>
    <definedName name="FieldControlsCostYear">'HGMD Unit Costs'!$C$165</definedName>
    <definedName name="FieldControlsLife">'HGMD Unit Costs'!$E$165</definedName>
    <definedName name="FieldControlsUnitCost">'HGMD Unit Costs'!$D$165</definedName>
    <definedName name="firealarmclubcostyear">'HGMD Unit Costs'!#REF!</definedName>
    <definedName name="firealarmclublife">'HGMD Unit Costs'!#REF!</definedName>
    <definedName name="firealarmclubunitcost">'HGMD Unit Costs'!#REF!</definedName>
    <definedName name="firealarmpanel1costyear">'HGMD Unit Costs'!#REF!</definedName>
    <definedName name="firealarmpanel1life">'HGMD Unit Costs'!#REF!</definedName>
    <definedName name="firealarmpanel1unitcost">'HGMD Unit Costs'!#REF!</definedName>
    <definedName name="firealarmpanel2life">'HGMD Unit Costs'!#REF!</definedName>
    <definedName name="firealarmpanel2unitcost">'HGMD Unit Costs'!#REF!</definedName>
    <definedName name="firealarmsystemclubcostyear">'HGMD Unit Costs'!$C$48</definedName>
    <definedName name="firealarmsystemclublife">'HGMD Unit Costs'!$E$48</definedName>
    <definedName name="firealarmsystemclubunitcost">'HGMD Unit Costs'!$D$48</definedName>
    <definedName name="firealarmsystemshopcostyear">'HGMD Unit Costs'!$C$49</definedName>
    <definedName name="firealarmsystemshoplife">'HGMD Unit Costs'!$E$49</definedName>
    <definedName name="firealarmsystemshopunitcost">'HGMD Unit Costs'!$D$49</definedName>
    <definedName name="firealrmpanel2costyear">'HGMD Unit Costs'!#REF!</definedName>
    <definedName name="floorauditoriumcostyear">'HGMD Unit Costs'!$C$50</definedName>
    <definedName name="floorauditoriumlife">'HGMD Unit Costs'!$E$50</definedName>
    <definedName name="floorauditoriumunitcost">'HGMD Unit Costs'!$D$50</definedName>
    <definedName name="floordancecostyear">'HGMD Unit Costs'!$C$51</definedName>
    <definedName name="floordancelife">'HGMD Unit Costs'!$E$51</definedName>
    <definedName name="floordanceunitcost">'HGMD Unit Costs'!$D$51</definedName>
    <definedName name="Floorlockerroomtilecostyear">'HGMD Unit Costs'!$C$92</definedName>
    <definedName name="Floorlockerroomtilelife">'HGMD Unit Costs'!$E$92</definedName>
    <definedName name="Floorlockerroomtileunitcost">'HGMD Unit Costs'!$D$92</definedName>
    <definedName name="floorstagecostyear">'HGMD Unit Costs'!$C$52</definedName>
    <definedName name="floorstagelife">'HGMD Unit Costs'!$E$52</definedName>
    <definedName name="floorstageunitcost">'HGMD Unit Costs'!$D$52</definedName>
    <definedName name="FoundationUse">'Control Panel'!$N$4</definedName>
    <definedName name="freezercoilcostyear">'HGMD Unit Costs'!$C$53</definedName>
    <definedName name="freezercoillife">'HGMD Unit Costs'!$E$53</definedName>
    <definedName name="freezercoilunitcost">'HGMD Unit Costs'!$D$53</definedName>
    <definedName name="fryercostyear">'HGMD Unit Costs'!#REF!</definedName>
    <definedName name="fryerlife">'HGMD Unit Costs'!#REF!</definedName>
    <definedName name="fryerunitcost">'HGMD Unit Costs'!#REF!</definedName>
    <definedName name="furnaceACmaintenancecostyear">'HGMD Unit Costs'!$C$54</definedName>
    <definedName name="furnaceACmaintenancelife">'HGMD Unit Costs'!$E$54</definedName>
    <definedName name="furnaceACmaintenanceunitcost">'HGMD Unit Costs'!$D$54</definedName>
    <definedName name="gasdispensercostyear">'HGMD Unit Costs'!$C$55</definedName>
    <definedName name="gasdispenserlife">'HGMD Unit Costs'!$E$55</definedName>
    <definedName name="gasdispenserunitcost">'HGMD Unit Costs'!$D$55</definedName>
    <definedName name="gasmonitorcostyear">'HGMD Unit Costs'!$C$56</definedName>
    <definedName name="gasmonitorlife">'HGMD Unit Costs'!$E$56</definedName>
    <definedName name="gasmonitorunitcost">'HGMD Unit Costs'!$D$56</definedName>
    <definedName name="gasstoragecostyear">'HGMD Unit Costs'!$C$57</definedName>
    <definedName name="gasstoragelife">'HGMD Unit Costs'!$E$57</definedName>
    <definedName name="gasstorageunitcost">'HGMD Unit Costs'!$D$57</definedName>
    <definedName name="gazebocostyear">'HGMD Unit Costs'!#REF!</definedName>
    <definedName name="gazebolife">'HGMD Unit Costs'!#REF!</definedName>
    <definedName name="gazebounitcost">'HGMD Unit Costs'!#REF!</definedName>
    <definedName name="golfcartbatteriescostyear">'HGMD Unit Costs'!$C$59</definedName>
    <definedName name="golfcartbatterieslife">'HGMD Unit Costs'!$E$59</definedName>
    <definedName name="golfcartbatteriesunitcost">'HGMD Unit Costs'!$D$59</definedName>
    <definedName name="golfcartcostyear">'HGMD Unit Costs'!$C$58</definedName>
    <definedName name="golfcartlife">'HGMD Unit Costs'!$E$58</definedName>
    <definedName name="golfcartunitcost">'HGMD Unit Costs'!$D$58</definedName>
    <definedName name="golfcoursebridgecostyear">'HGMD Unit Costs'!$C$60</definedName>
    <definedName name="golfcoursebridgellife">'HGMD Unit Costs'!$E$60</definedName>
    <definedName name="golfcoursebridgeunitcost">'HGMD Unit Costs'!$D$60</definedName>
    <definedName name="golfcoursescoreboardcostyear">'HGMD Unit Costs'!$C$61</definedName>
    <definedName name="golfcoursescoreboardlife">'HGMD Unit Costs'!$E$61</definedName>
    <definedName name="golfcoursescoreboardunitcost">'HGMD Unit Costs'!$D$61</definedName>
    <definedName name="golfequiplifecostyear">'HGMD Unit Costs'!$C$62</definedName>
    <definedName name="golfequipliftlife">'HGMD Unit Costs'!$E$62</definedName>
    <definedName name="golfequipliftunitcost">'HGMD Unit Costs'!$D$62</definedName>
    <definedName name="golfPOScostyear">'HGMD Unit Costs'!#REF!</definedName>
    <definedName name="golfPOSlife">'HGMD Unit Costs'!#REF!</definedName>
    <definedName name="golfPOSunitcost">'HGMD Unit Costs'!#REF!</definedName>
    <definedName name="golfshopbagstorageflooringlife">'HGMD Unit Costs'!$E$18</definedName>
    <definedName name="golfshopbagstorageflooringunitcost">'HGMD Unit Costs'!$D$18</definedName>
    <definedName name="golfshoplanaicostyear">'HGMD Unit Costs'!#REF!</definedName>
    <definedName name="golfshoplanaiflooringcostyear">'HGMD Unit Costs'!#REF!</definedName>
    <definedName name="golfshoplanaiflooringlife">'HGMD Unit Costs'!#REF!</definedName>
    <definedName name="golfshoplanaiflooringunitcost">'HGMD Unit Costs'!#REF!</definedName>
    <definedName name="golfshoplanailife">'HGMD Unit Costs'!#REF!</definedName>
    <definedName name="golfshoplanaiunitcost">'HGMD Unit Costs'!#REF!</definedName>
    <definedName name="grinderRBknifecostyear">'HGMD Unit Costs'!$C$63</definedName>
    <definedName name="GrinderRBknifelife">'HGMD Unit Costs'!$E$63</definedName>
    <definedName name="GrinderRBknifeunitcost">'HGMD Unit Costs'!$D$63</definedName>
    <definedName name="gutterclubhousecostyear">'HGMD Unit Costs'!$C$64</definedName>
    <definedName name="gutterclublife">'HGMD Unit Costs'!$E$64</definedName>
    <definedName name="gutterclubunitcost">'HGMD Unit Costs'!$D$64</definedName>
    <definedName name="guttershopcostyear">'HGMD Unit Costs'!$C$65</definedName>
    <definedName name="guttershoplife">'HGMD Unit Costs'!$E$65</definedName>
    <definedName name="guttershopunitcost">'HGMD Unit Costs'!$D$65</definedName>
    <definedName name="HDutilityvehicle603costyear">'HGMD Unit Costs'!$C$66</definedName>
    <definedName name="HDutilityvehicle603life">'HGMD Unit Costs'!$E$66</definedName>
    <definedName name="HDutilityvehicle603unitcost">'HGMD Unit Costs'!$D$66</definedName>
    <definedName name="HDUtilityVehicle614costyear">'HGMD Unit Costs'!$C$67</definedName>
    <definedName name="HDUtilityVehicle614Life">'HGMD Unit Costs'!$E$67</definedName>
    <definedName name="HDUtilityVehicle614UnitCost">'HGMD Unit Costs'!$D$67</definedName>
    <definedName name="HGMD_Balance">'Control Panel'!$F$4</definedName>
    <definedName name="HGMD_Deposit">'Control Panel'!$J$3</definedName>
    <definedName name="HGMD_Deposit2017">'Control Panel'!$J$4</definedName>
    <definedName name="HGMD_OMUse">'Control Panel'!#REF!</definedName>
    <definedName name="HGMD_OMValue">'Control Panel'!#REF!</definedName>
    <definedName name="HVAC1Compressor1costyear">'HGMD Unit Costs'!$C$68</definedName>
    <definedName name="HVAC1Compressor1life">'HGMD Unit Costs'!$E$68</definedName>
    <definedName name="HVAC1Compressor1unitcost">'HGMD Unit Costs'!$D$68</definedName>
    <definedName name="HVAC1Compressor2costyear">'HGMD Unit Costs'!$C$69</definedName>
    <definedName name="HVAC1COmpressor2life">'HGMD Unit Costs'!$E$69</definedName>
    <definedName name="HVAC1Compressor2unitcost">'HGMD Unit Costs'!$D$69</definedName>
    <definedName name="HVAC1EvapCoolercostyear">'HGMD Unit Costs'!$C$75</definedName>
    <definedName name="HVAC1EvapCoolerLIfe">'HGMD Unit Costs'!$E$75</definedName>
    <definedName name="HVAC1EvapCoolerUnitcost">'HGMD Unit Costs'!$D$75</definedName>
    <definedName name="HVAC1IndoorCoilCostYear">'HGMD Unit Costs'!$C$70</definedName>
    <definedName name="HVAC1IndoorCoilLife">'HGMD Unit Costs'!$E$70</definedName>
    <definedName name="HVAC1IndoorCoilUnitcost">'HGMD Unit Costs'!$D$70</definedName>
    <definedName name="HVAC1Motherboardcostyear">'HGMD Unit Costs'!$C$71</definedName>
    <definedName name="HVAC1Motherboardlife">'HGMD Unit Costs'!$E$71</definedName>
    <definedName name="HVAC1Motherboardunitcost">'HGMD Unit Costs'!$D$71</definedName>
    <definedName name="HVAC1motorcostyear">'HGMD Unit Costs'!$C$73</definedName>
    <definedName name="HVAC1motorlife">'HGMD Unit Costs'!$E$73</definedName>
    <definedName name="HVAC1motorunitcost">'HGMD Unit Costs'!$D$73</definedName>
    <definedName name="HVAC1Outdoorcoilcostyear">'HGMD Unit Costs'!$C$72</definedName>
    <definedName name="HVAC1outdoorcoillife">'HGMD Unit Costs'!$E$72</definedName>
    <definedName name="HVAC1outdoorcoilunitcost">'HGMD Unit Costs'!$D$72</definedName>
    <definedName name="HVACBoiler2Coil">'HGMD Unit Costs'!$D$74</definedName>
    <definedName name="HVACBoiler2Coilcostyear">'HGMD Unit Costs'!$C$74</definedName>
    <definedName name="HVACBoiler2CoilLife">'HGMD Unit Costs'!$E$74</definedName>
    <definedName name="Indoorpoolheaterboilerunitcost">'HGMD Unit Costs'!$D$76</definedName>
    <definedName name="Indoorpoolheatherboilercostyear">'HGMD Unit Costs'!$C$76</definedName>
    <definedName name="Indoorpoolheatherboilerlife">'HGMD Unit Costs'!$E$76</definedName>
    <definedName name="Indoorpoollightingcostyear">'HGMD Unit Costs'!$C$78</definedName>
    <definedName name="Indoorpoollightinglife">'HGMD Unit Costs'!$E$78</definedName>
    <definedName name="Indoorpoollightingunitcost">'HGMD Unit Costs'!$D$78</definedName>
    <definedName name="IndoorPoolUVcostyear">'HGMD Unit Costs'!$C$79</definedName>
    <definedName name="IndoorpoolUVlife">'HGMD Unit Costs'!$E$79</definedName>
    <definedName name="IndoorPoolUVunitcost">'HGMD Unit Costs'!$D$79</definedName>
    <definedName name="InflationRate">'Control Panel'!$C$4</definedName>
    <definedName name="InsuranceNet">'Control Panel'!$G$8</definedName>
    <definedName name="InsuranceUse">'Control Panel'!$F$8</definedName>
    <definedName name="Inventorydesignlife">'HGMD Unit Costs'!$E$81</definedName>
    <definedName name="Inventoryremodelcostyear">'HGMD Unit Costs'!$C$80</definedName>
    <definedName name="Inventoryremodellife">'HGMD Unit Costs'!$E$80</definedName>
    <definedName name="Inventoryremodelunitcost">'HGMD Unit Costs'!$D$80</definedName>
    <definedName name="irrigationdesigncostyear">'HGMD Unit Costs'!$C$81</definedName>
    <definedName name="Irrigationdesignunitcost">'HGMD Unit Costs'!$D$81</definedName>
    <definedName name="Irrigationputtinggreencostyear">'HGMD Unit Costs'!$C$82</definedName>
    <definedName name="Irrigationputtinggreenlife">'HGMD Unit Costs'!$E$82</definedName>
    <definedName name="Irrigationputtinggreenunitcost">'HGMD Unit Costs'!$D$82</definedName>
    <definedName name="Irrigationsystem2holescostyear">'HGMD Unit Costs'!$C$117</definedName>
    <definedName name="IrrigationSystem2HolesLife">'HGMD Unit Costs'!$E$117</definedName>
    <definedName name="IrrigationSystem2HolesUnitcost">'HGMD Unit Costs'!$D$117</definedName>
    <definedName name="Item">'HGMD Unit Costs'!$B$4:$E$8</definedName>
    <definedName name="Lakeaeratorlargecostyear">'HGMD Unit Costs'!$C$83</definedName>
    <definedName name="Lakeaeratorlargelife">'HGMD Unit Costs'!$E$83</definedName>
    <definedName name="Lakeaeratorlargeunitcost">'HGMD Unit Costs'!$D$83</definedName>
    <definedName name="Lakeaeratornorthcostyear">'HGMD Unit Costs'!$C$84</definedName>
    <definedName name="Lakeaeratornorthlife">'HGMD Unit Costs'!$E$84</definedName>
    <definedName name="Lakeaeratornorthunitcost">'HGMD Unit Costs'!$D$84</definedName>
    <definedName name="Lakefountainlargecostyear">'HGMD Unit Costs'!$C$85</definedName>
    <definedName name="Lakefountainlargelife">'HGMD Unit Costs'!$E$85</definedName>
    <definedName name="Lakefountainlargeunitcost">'HGMD Unit Costs'!$D$85</definedName>
    <definedName name="Lakefountainnorthcostyear">'HGMD Unit Costs'!$C$86</definedName>
    <definedName name="Lakefountainnorthlife">'HGMD Unit Costs'!$E$86</definedName>
    <definedName name="Lakefountainnorthunitcost">'HGMD Unit Costs'!$D$86</definedName>
    <definedName name="LDUtilityvehicle602costyear">'HGMD Unit Costs'!$C$87</definedName>
    <definedName name="LDutilityvehicle602life">'HGMD Unit Costs'!$E$87</definedName>
    <definedName name="LDUtilityvehicle602unitcost">'HGMD Unit Costs'!$D$87</definedName>
    <definedName name="LDUtilityVehicle607CostYear">'HGMD Unit Costs'!$C$88</definedName>
    <definedName name="LDUtilityVehicle607Life">'HGMD Unit Costs'!$E$88</definedName>
    <definedName name="LDUtilityVehicle607UnitCost">'HGMD Unit Costs'!$D$88</definedName>
    <definedName name="Libraryshelvesfurniturecostyear">'HGMD Unit Costs'!#REF!</definedName>
    <definedName name="Libraryshelvesfurniturelife">'HGMD Unit Costs'!#REF!</definedName>
    <definedName name="Libraryshelvesfurnitureunitcost">'HGMD Unit Costs'!#REF!</definedName>
    <definedName name="LiftScissorcostyear">'HGMD Unit Costs'!#REF!</definedName>
    <definedName name="Liftscissorlife">'HGMD Unit Costs'!#REF!</definedName>
    <definedName name="LiftScissorunitcost">'HGMD Unit Costs'!#REF!</definedName>
    <definedName name="Lockerroomshowerstilecosyear">'HGMD Unit Costs'!$C$93</definedName>
    <definedName name="Lockerroomshowerstilelife">'HGMD Unit Costs'!$E$93</definedName>
    <definedName name="Lockerroomshowerstileunitcost">'HGMD Unit Costs'!$D$93</definedName>
    <definedName name="Lockerscostyear">'HGMD Unit Costs'!$C$94</definedName>
    <definedName name="Lockerslife">'HGMD Unit Costs'!$E$94</definedName>
    <definedName name="Lockersunitcost">'HGMD Unit Costs'!$D$94</definedName>
    <definedName name="LotteryUse">'Control Panel'!$N$3</definedName>
    <definedName name="MinimumProjectCost" localSheetId="4">'Control Panel'!$K$7</definedName>
    <definedName name="MobileLiftCostYear">'HGMD Unit Costs'!$C$89</definedName>
    <definedName name="MobileLiftLife">'HGMD Unit Costs'!$E$89</definedName>
    <definedName name="MobileLiftUnitCost">'HGMD Unit Costs'!$D$89</definedName>
    <definedName name="mowerairwayunitcost">'HGMD Unit Costs'!$D$96</definedName>
    <definedName name="mowerfairwaycostyear">'HGMD Unit Costs'!$C$96</definedName>
    <definedName name="Mowerfairwaylife">'HGMD Unit Costs'!$E$96</definedName>
    <definedName name="Mowerroughcostyear">'HGMD Unit Costs'!$C$98</definedName>
    <definedName name="Mowerroughfairwaycostyear">'HGMD Unit Costs'!$C$97</definedName>
    <definedName name="Mowerroughfairwaylife">'HGMD Unit Costs'!$E$97</definedName>
    <definedName name="Mowerroughfairwayunitcost">'HGMD Unit Costs'!$D$97</definedName>
    <definedName name="Mowerroughlife">'HGMD Unit Costs'!$E$98</definedName>
    <definedName name="Mowerroughunitcost">'HGMD Unit Costs'!$D$98</definedName>
    <definedName name="Mowertriplexcostyear">'HGMD Unit Costs'!$C$99</definedName>
    <definedName name="Mowertriplexlife">'HGMD Unit Costs'!$E$99</definedName>
    <definedName name="Mowertriplexunitcost">'HGMD Unit Costs'!$D$99</definedName>
    <definedName name="opentopsaladrefrigcostyear">'HGMD Unit Costs'!#REF!</definedName>
    <definedName name="opentopsaladrefriglife">'HGMD Unit Costs'!#REF!</definedName>
    <definedName name="opentopsaladrefrigunitcost">'HGMD Unit Costs'!#REF!</definedName>
    <definedName name="outdoorpoolheaterboilercostyear">'HGMD Unit Costs'!$C$100</definedName>
    <definedName name="outdoorpoolheaterboilerlife">'HGMD Unit Costs'!$E$100</definedName>
    <definedName name="outdoorpoolheaterboilerunitcost">'HGMD Unit Costs'!$D$100</definedName>
    <definedName name="ovencostyear">'HGMD Unit Costs'!#REF!</definedName>
    <definedName name="ovenlife">'HGMD Unit Costs'!#REF!</definedName>
    <definedName name="ovenunitcost">'HGMD Unit Costs'!#REF!</definedName>
    <definedName name="paintclubhousecostyear">'HGMD Unit Costs'!$C$101</definedName>
    <definedName name="paintclubhouselife">'HGMD Unit Costs'!$E$101</definedName>
    <definedName name="paintclubhouseunitcost">'HGMD Unit Costs'!$D$101</definedName>
    <definedName name="paintshopcostyear">'HGMD Unit Costs'!$C$102</definedName>
    <definedName name="paintshoplife">'HGMD Unit Costs'!$E$102</definedName>
    <definedName name="paintshopunitcost">'HGMD Unit Costs'!$D$102</definedName>
    <definedName name="passthrurefrigcostyear">'HGMD Unit Costs'!$C$103</definedName>
    <definedName name="passthrurefriglife">'HGMD Unit Costs'!$E$103</definedName>
    <definedName name="passthrurefrigunitcost">'HGMD Unit Costs'!$D$103</definedName>
    <definedName name="pianoauditoriumcostyear">'HGMD Unit Costs'!$C$104</definedName>
    <definedName name="pianoauditoriumlife">'HGMD Unit Costs'!$E$104</definedName>
    <definedName name="pianoauditoriumunitcost">'HGMD Unit Costs'!$D$104</definedName>
    <definedName name="Pondrepairscostyear">'HGMD Unit Costs'!$C$105</definedName>
    <definedName name="pondrepairslife">'HGMD Unit Costs'!$E$105</definedName>
    <definedName name="pondrepairsunitcost">'HGMD Unit Costs'!$D$105</definedName>
    <definedName name="pooldehumidificationcostyear">'HGMD Unit Costs'!$C$106</definedName>
    <definedName name="pooldehumidificationunitcost">'HGMD Unit Costs'!$D$106</definedName>
    <definedName name="Poolfiltercostyear">'HGMD Unit Costs'!$C$109</definedName>
    <definedName name="Poolfilterlife">'HGMD Unit Costs'!$E$109</definedName>
    <definedName name="Poolfilterunitcost">'HGMD Unit Costs'!$D$109</definedName>
    <definedName name="poolhumidificationlife">'HGMD Unit Costs'!$E$106</definedName>
    <definedName name="Poolliftcostyear">'HGMD Unit Costs'!$C$110</definedName>
    <definedName name="Poolliftlife">'HGMD Unit Costs'!$E$110</definedName>
    <definedName name="Poolliftunitcost">'HGMD Unit Costs'!$D$110</definedName>
    <definedName name="pooloutdoorplastercostyear">'HGMD Unit Costs'!$C$108</definedName>
    <definedName name="pooloutdoorplasterlife">'HGMD Unit Costs'!$E$108</definedName>
    <definedName name="pooloutdoorplasterunitcost">'HGMD Unit Costs'!$D$108</definedName>
    <definedName name="poolvariablespeedmotorscostyear">'HGMD Unit Costs'!$C$107</definedName>
    <definedName name="poolvariablespeedmotorslife">'HGMD Unit Costs'!$E$107</definedName>
    <definedName name="poolvariablespeedmotorsunitcost">'HGMD Unit Costs'!$D$107</definedName>
    <definedName name="_xlnm.Print_Area" localSheetId="4">Components!$A$3:$N$207</definedName>
    <definedName name="_xlnm.Print_Area" localSheetId="0">'Control Panel'!$A$1:$K$33</definedName>
    <definedName name="_xlnm.Print_Area" localSheetId="3">'HGMD Unit Costs'!$A$4:$G$146</definedName>
    <definedName name="_xlnm.Print_Area" localSheetId="2">SUMMARY!$B$1:$AI$23</definedName>
    <definedName name="_xlnm.Print_Area" localSheetId="7">Testing!$B$1:$G$28</definedName>
    <definedName name="_xlnm.Print_Titles" localSheetId="4">Components!$B:$C,Components!$1:$1</definedName>
    <definedName name="_xlnm.Print_Titles" localSheetId="0">'Control Panel'!$1:$9</definedName>
    <definedName name="_xlnm.Print_Titles" localSheetId="3">'HGMD Unit Costs'!$1:$3</definedName>
    <definedName name="_xlnm.Print_Titles" localSheetId="2">SUMMARY!$B:$C</definedName>
    <definedName name="Projectorsauditoriumcostyear">'HGMD Unit Costs'!#REF!</definedName>
    <definedName name="Projectorsauditoriumlife">'HGMD Unit Costs'!#REF!</definedName>
    <definedName name="Projectorsauditoriumunitcost">'HGMD Unit Costs'!#REF!</definedName>
    <definedName name="PropertyTaxUse">'Control Panel'!$N$5</definedName>
    <definedName name="PumpStationCOstYear">'HGMD Unit Costs'!$C$166</definedName>
    <definedName name="PumpStationLife">'HGMD Unit Costs'!$E$166</definedName>
    <definedName name="PumpStatoinUnitCost">'HGMD Unit Costs'!$D$166</definedName>
    <definedName name="RendezvousAVsystemcostyear">'HGMD Unit Costs'!#REF!</definedName>
    <definedName name="RendezvousAVSystemlife">'HGMD Unit Costs'!#REF!</definedName>
    <definedName name="RendezvousAVSystemunitcost">'HGMD Unit Costs'!#REF!</definedName>
    <definedName name="Rendezvousblowermotorcostyear">'HGMD Unit Costs'!$C$112</definedName>
    <definedName name="Rendezvousblowermotorlife">'HGMD Unit Costs'!$E$112</definedName>
    <definedName name="Rendezvousblowermotorunitcost">'HGMD Unit Costs'!$D$112</definedName>
    <definedName name="Rendezvousevapatorativecostyear">'HGMD Unit Costs'!$C$113</definedName>
    <definedName name="Rendezvousevaporativelife">'HGMD Unit Costs'!$E$113</definedName>
    <definedName name="RendezvousEvaporativeunitcost">'HGMD Unit Costs'!$D$113</definedName>
    <definedName name="RendezvousMakeupAirlife">'HGMD Unit Costs'!$E$115</definedName>
    <definedName name="Rendezvousmakeupairunitcost">'HGMD Unit Costs'!$D$115</definedName>
    <definedName name="Rendezvousmakeupairunitcostyear">'HGMD Unit Costs'!$C$115</definedName>
    <definedName name="RendezvousMotherboardcostyear">'HGMD Unit Costs'!$C$114</definedName>
    <definedName name="RendezvousMotherboardlife">'HGMD Unit Costs'!$E$114</definedName>
    <definedName name="Rendezvousmotherboardunitcost">'HGMD Unit Costs'!$D$114</definedName>
    <definedName name="RendezvousRooftopunitcost">'HGMD Unit Costs'!$D$116</definedName>
    <definedName name="RendezvousRoofTopUnitcostyear">'HGMD Unit Costs'!$C$116</definedName>
    <definedName name="RendezvousRoofTopUnitLife">'HGMD Unit Costs'!$E$116</definedName>
    <definedName name="RestaurantAVcostyear">'HGMD Unit Costs'!$C$124</definedName>
    <definedName name="RestaurantAVlife">'HGMD Unit Costs'!$E$124</definedName>
    <definedName name="RestaurantAVunitcost">'HGMD Unit Costs'!$D$124</definedName>
    <definedName name="Restaurantbarstoolscostyear">'HGMD Unit Costs'!$C$118</definedName>
    <definedName name="Restaurantbarstoolslife">'HGMD Unit Costs'!$E$118</definedName>
    <definedName name="restaurantbarstoolsunitcost">'HGMD Unit Costs'!$D$118</definedName>
    <definedName name="Restaurantchairscostyear">'HGMD Unit Costs'!$C$121</definedName>
    <definedName name="restaurantchairslife">'HGMD Unit Costs'!$E$121</definedName>
    <definedName name="restaurantchairsunitcost">'HGMD Unit Costs'!$D$121</definedName>
    <definedName name="Restaurantlanaicostyear">'HGMD Unit Costs'!#REF!</definedName>
    <definedName name="Restaurantlanailife">'HGMD Unit Costs'!#REF!</definedName>
    <definedName name="Restaurantlanaiunitcost">'HGMD Unit Costs'!#REF!</definedName>
    <definedName name="restaurantoutdoorfreezercostyear">'HGMD Unit Costs'!$C$122</definedName>
    <definedName name="restaurantoutdoorfreezerlife">'HGMD Unit Costs'!$E$122</definedName>
    <definedName name="restaurantoutdoorfreezerunitcost">'HGMD Unit Costs'!$D$122</definedName>
    <definedName name="restaurantPOScostyear">'HGMD Unit Costs'!$C$123</definedName>
    <definedName name="RestaurantPOSlife">'HGMD Unit Costs'!$E$123</definedName>
    <definedName name="restaurantPOSunitcost">'HGMD Unit Costs'!$D$123</definedName>
    <definedName name="restauranttablesroundcostyear">'HGMD Unit Costs'!$C$120</definedName>
    <definedName name="restauranttablesroundlife">'HGMD Unit Costs'!$E$120</definedName>
    <definedName name="restauranttablesroundunitcost">'HGMD Unit Costs'!$D$120</definedName>
    <definedName name="Restauranttablessquarecostyear">'HGMD Unit Costs'!$C$119</definedName>
    <definedName name="Restauranttablessquarelife">'HGMD Unit Costs'!$E$119</definedName>
    <definedName name="Restauranttablessquareunitcost">'HGMD Unit Costs'!$D$119</definedName>
    <definedName name="restroomscostyear">'HGMD Unit Costs'!$C$95</definedName>
    <definedName name="restroomslife">'HGMD Unit Costs'!$E$95</definedName>
    <definedName name="restroomsunitcost">'HGMD Unit Costs'!$D$95</definedName>
    <definedName name="Returnairunit1costyear">'HGMD Unit Costs'!$C$125</definedName>
    <definedName name="Returnairunit1life">'HGMD Unit Costs'!$E$125</definedName>
    <definedName name="Returnairunit1unitcost">'HGMD Unit Costs'!$D$125</definedName>
    <definedName name="Returnairunit2costyear">'HGMD Unit Costs'!$C$126</definedName>
    <definedName name="Returnairunit2life">'HGMD Unit Costs'!$E$126</definedName>
    <definedName name="Returnairunit2unitcost">'HGMD Unit Costs'!$D$126</definedName>
    <definedName name="RoadRRasphaltcostyear">'HGMD Unit Costs'!$C$127</definedName>
    <definedName name="RoadRRAsphaltLife">'HGMD Unit Costs'!$E$127</definedName>
    <definedName name="RoadRRasphaltunitcost">'HGMD Unit Costs'!$D$127</definedName>
    <definedName name="RoadSealcoatcostyear">'HGMD Unit Costs'!$C$129</definedName>
    <definedName name="Roadsealcoatlife">'HGMD Unit Costs'!$E$129</definedName>
    <definedName name="Roadsealcoatunitcost">'HGMD Unit Costs'!$D$129</definedName>
    <definedName name="RoofclubEPDMcostyear">'HGMD Unit Costs'!$C$130</definedName>
    <definedName name="RoofclubEPDMlife">'HGMD Unit Costs'!$E$130</definedName>
    <definedName name="RoofclubEPDMunitcost">'HGMD Unit Costs'!$D$130</definedName>
    <definedName name="Roofclubsteelcostyear">'HGMD Unit Costs'!$C$131</definedName>
    <definedName name="Roofclubsteellife">'HGMD Unit Costs'!$E$131</definedName>
    <definedName name="Roofclubsteelunitcost">'HGMD Unit Costs'!$D$131</definedName>
    <definedName name="RoofPavilioncostyear">'HGMD Unit Costs'!$C$132</definedName>
    <definedName name="RoofPavilionLife">'HGMD Unit Costs'!$E$132</definedName>
    <definedName name="Roofpavilionunitcost">'HGMD Unit Costs'!$D$132</definedName>
    <definedName name="RoofShopcostyear">'HGMD Unit Costs'!$C$133</definedName>
    <definedName name="RoofShoplife">'HGMD Unit Costs'!$E$133</definedName>
    <definedName name="Roofshopunitcost">'HGMD Unit Costs'!$D$133</definedName>
    <definedName name="RRConcretecostyear">'HGMD Unit Costs'!$C$128</definedName>
    <definedName name="RRCOncretelife">'HGMD Unit Costs'!$E$128</definedName>
    <definedName name="RRconcreteunitcost">'HGMD Unit Costs'!$D$128</definedName>
    <definedName name="RTU1IndoorCoilcostyear">'HGMD Unit Costs'!$C$135</definedName>
    <definedName name="RTU1IndoorCoillife">'HGMD Unit Costs'!$E$135</definedName>
    <definedName name="RTU1IndoorCoilUnitCost">'HGMD Unit Costs'!$D$135</definedName>
    <definedName name="RTU2BlowerMotorCostYear">'HGMD Unit Costs'!$C$136</definedName>
    <definedName name="RTU2BlowerMotorLife">'HGMD Unit Costs'!$E$136</definedName>
    <definedName name="RTU2BlowerMotorUnitCost">'HGMD Unit Costs'!$D$136</definedName>
    <definedName name="RTU2COmpressor1COstYear">'HGMD Unit Costs'!$C$137</definedName>
    <definedName name="RTU2COmpressor1Life">'HGMD Unit Costs'!$E$137</definedName>
    <definedName name="RTU2Compressor1UnitCOst">'HGMD Unit Costs'!$D$137</definedName>
    <definedName name="RTU2Compressor2COstYear">'HGMD Unit Costs'!$C$138</definedName>
    <definedName name="RTU2COmpressor2LIfe">'HGMD Unit Costs'!$E$138</definedName>
    <definedName name="RTU2COmpressor2UnitCost">'HGMD Unit Costs'!$D$138</definedName>
    <definedName name="RTU2COndensingCoilCOstYear">'HGMD Unit Costs'!$C$139</definedName>
    <definedName name="RTU2COndensingCoilLife">'HGMD Unit Costs'!$E$139</definedName>
    <definedName name="RTU2CondensingCoilUnitCost">'HGMD Unit Costs'!$D$139</definedName>
    <definedName name="RTU2EvapCoilCostYear">'HGMD Unit Costs'!$C$140</definedName>
    <definedName name="RTU2EvapCoilLLIfe">'HGMD Unit Costs'!$E$140</definedName>
    <definedName name="RTU2EvapCoilUnitCost">'HGMD Unit Costs'!$D$140</definedName>
    <definedName name="RTU2MotherboardCostYear">'HGMD Unit Costs'!$C$141</definedName>
    <definedName name="RTU2MotherboardLife">'HGMD Unit Costs'!$E$141</definedName>
    <definedName name="RTU2MotherboardUnitCost">'HGMD Unit Costs'!$D$141</definedName>
    <definedName name="RTU3BLowerMotorCOstYear">'HGMD Unit Costs'!$C$142</definedName>
    <definedName name="RTU3BLowerMotorLIfe">'HGMD Unit Costs'!$E$142</definedName>
    <definedName name="RTU3BLowerMotorUnitCost">'HGMD Unit Costs'!$D$142</definedName>
    <definedName name="RTU3Compressor1COstYear">'HGMD Unit Costs'!$C$143</definedName>
    <definedName name="RTU3Compressor1LIfe">'HGMD Unit Costs'!$E$143</definedName>
    <definedName name="RTU3COmpressor1UnitCOst">'HGMD Unit Costs'!$D$143</definedName>
    <definedName name="RTU3Compressor2CostYear">'HGMD Unit Costs'!$C$144</definedName>
    <definedName name="RTU3COmpressor2Life">'HGMD Unit Costs'!$E$144</definedName>
    <definedName name="RTU3COmpressor2UnitCOst">'HGMD Unit Costs'!$D$144</definedName>
    <definedName name="RTU3Compressor3COstYEar">'HGMD Unit Costs'!$C$145</definedName>
    <definedName name="RTU3Compressor3LIfe">'HGMD Unit Costs'!$E$145</definedName>
    <definedName name="RTU3COmpressor3UnitCost">'HGMD Unit Costs'!$D$145</definedName>
    <definedName name="RTU3Compressor4COstYear">'HGMD Unit Costs'!$C$146</definedName>
    <definedName name="RTU3Compressor4Life">'HGMD Unit Costs'!$E$146</definedName>
    <definedName name="RTU3Compressor4UnitCOst">'HGMD Unit Costs'!$D$146</definedName>
    <definedName name="RTU3EvapCoilcostyear">'HGMD Unit Costs'!$C$147</definedName>
    <definedName name="RTU3EvapCoilLIfe">'HGMD Unit Costs'!$E$147</definedName>
    <definedName name="RTU3EvapCoilUnitCost">'HGMD Unit Costs'!$D$147</definedName>
    <definedName name="RVLotFenceCostYear">'HGMD Unit Costs'!$C$148</definedName>
    <definedName name="RVLotFenceLIfe">'HGMD Unit Costs'!$E$148</definedName>
    <definedName name="RVLotFenceUnitCOst">'HGMD Unit Costs'!$D$148</definedName>
    <definedName name="SaunaCostYear">'HGMD Unit Costs'!$C$149</definedName>
    <definedName name="SaunaLife">'HGMD Unit Costs'!$E$149</definedName>
    <definedName name="SaunaUnitCOst">'HGMD Unit Costs'!$D$149</definedName>
    <definedName name="Securitycamerascostyear">'HGMD Unit Costs'!$C$150</definedName>
    <definedName name="Securitycameraslife">'HGMD Unit Costs'!$E$150</definedName>
    <definedName name="Securitycamerasunitcost">'HGMD Unit Costs'!$D$150</definedName>
    <definedName name="SidingShopCOstYear">'HGMD Unit Costs'!$C$151</definedName>
    <definedName name="SidingShopLIfe">'HGMD Unit Costs'!$E$151</definedName>
    <definedName name="SidingShopUnitCost">'HGMD Unit Costs'!$D$151</definedName>
    <definedName name="SkidSteerCOstYear">'HGMD Unit Costs'!$C$152</definedName>
    <definedName name="SkidSteerLife">'HGMD Unit Costs'!$E$152</definedName>
    <definedName name="SkidSteerUnitCost">'HGMD Unit Costs'!$D$152</definedName>
    <definedName name="Solarpanelheatexchangerunitcost">'HGMD Unit Costs'!$D$153</definedName>
    <definedName name="Solarpanelsheatexchangercostyear">'HGMD Unit Costs'!$C$153</definedName>
    <definedName name="Solarpanelsheatexchangerlife">'HGMD Unit Costs'!$E$153</definedName>
    <definedName name="Solartransitioncostyear">'HGMD Unit Costs'!#REF!</definedName>
    <definedName name="Solartransitionlife">'HGMD Unit Costs'!#REF!</definedName>
    <definedName name="Solartransitionunitcost">'HGMD Unit Costs'!#REF!</definedName>
    <definedName name="SoundSystemcostyear">'HGMD Unit Costs'!$C$154</definedName>
    <definedName name="Soundsystemlife">'HGMD Unit Costs'!$E$154</definedName>
    <definedName name="Soundsystemunitcost">'HGMD Unit Costs'!$D$154</definedName>
    <definedName name="Spamotorscostyear">'HGMD Unit Costs'!$C$155</definedName>
    <definedName name="Spamotorslife">'HGMD Unit Costs'!$E$155</definedName>
    <definedName name="Spamotorsunitcost">'HGMD Unit Costs'!$D$155</definedName>
    <definedName name="Sparegreensreelscostyear">'HGMD Unit Costs'!$C$156</definedName>
    <definedName name="Sparegreensreelslife">'HGMD Unit Costs'!$E$156</definedName>
    <definedName name="Sparegreensreelsunitcost">'HGMD Unit Costs'!$D$156</definedName>
    <definedName name="SpareTeesReelsCostYear">'HGMD Unit Costs'!$C$157</definedName>
    <definedName name="SpareTeesReelsLife">'HGMD Unit Costs'!$E$157</definedName>
    <definedName name="SpareTeesReelsUnitCOst">'HGMD Unit Costs'!$D$157</definedName>
    <definedName name="SprayProCOstYear">'HGMD Unit Costs'!$C$158</definedName>
    <definedName name="SprayProLIfe">'HGMD Unit Costs'!$E$158</definedName>
    <definedName name="SprayProUnitCost">'HGMD Unit Costs'!$D$158</definedName>
    <definedName name="StartYear">'Control Panel'!$I$6</definedName>
    <definedName name="StorageTankClubCostYear">'HGMD Unit Costs'!$C$159</definedName>
    <definedName name="StorageTankClubLife">'HGMD Unit Costs'!$E$159</definedName>
    <definedName name="StorageTankClubUnitCost">'HGMD Unit Costs'!$D$159</definedName>
    <definedName name="StorageTankRendezvousCostYEar">'HGMD Unit Costs'!$C$160</definedName>
    <definedName name="StorageTankRendezvousLife">'HGMD Unit Costs'!$E$160</definedName>
    <definedName name="StorageTankRendezvousUnitCost">'HGMD Unit Costs'!$D$160</definedName>
    <definedName name="StumpGrinderAttachmentCostYear">'HGMD Unit Costs'!$C$161</definedName>
    <definedName name="StumpGrinderAttachmentLife">'HGMD Unit Costs'!$E$161</definedName>
    <definedName name="StumpGrinderAttachmentUnitCost">'HGMD Unit Costs'!$D$161</definedName>
    <definedName name="SweeperThatcherCOstYear">'HGMD Unit Costs'!$C$162</definedName>
    <definedName name="SweeperThatcherLife">'HGMD Unit Costs'!$E$162</definedName>
    <definedName name="SweeperThatcherUnitCost">'HGMD Unit Costs'!$D$162</definedName>
    <definedName name="TableDIningRoundCostYear">'HGMD Unit Costs'!#REF!</definedName>
    <definedName name="TableDiningRoundLIfe">'HGMD Unit Costs'!#REF!</definedName>
    <definedName name="TableDIningRoundUnitCOst">'HGMD Unit Costs'!#REF!</definedName>
    <definedName name="TableDiningSquareCostYear">'HGMD Unit Costs'!#REF!</definedName>
    <definedName name="TableDiningSquareLife">'HGMD Unit Costs'!#REF!</definedName>
    <definedName name="TableDiningSquareUnitCost">'HGMD Unit Costs'!#REF!</definedName>
    <definedName name="TableLobbySideCostYEar">'HGMD Unit Costs'!#REF!</definedName>
    <definedName name="TableLobbySideUnitCost">'HGMD Unit Costs'!#REF!</definedName>
    <definedName name="TargetFFBalance">'Control Panel'!$K$8</definedName>
    <definedName name="TennisCourtRandRcostyear">'HGMD Unit Costs'!#REF!</definedName>
    <definedName name="TennisCourtRandRLife">'HGMD Unit Costs'!#REF!</definedName>
    <definedName name="TennisCourtRandRunitcost">'HGMD Unit Costs'!#REF!</definedName>
    <definedName name="TennisCourtResurfaceCostYear">'HGMD Unit Costs'!$C$163</definedName>
    <definedName name="TennisCourtResurfaceLife">'HGMD Unit Costs'!$E$163</definedName>
    <definedName name="TennisCourtResurfaceUnitCost">'HGMD Unit Costs'!$D$163</definedName>
    <definedName name="TractorwforkliftbackhoeCostYear">'HGMD Unit Costs'!$C$164</definedName>
    <definedName name="TractorwforkliftbackhoeLife">'HGMD Unit Costs'!$E$164</definedName>
    <definedName name="Tractorwforkliftbackhoeunitcost">'HGMD Unit Costs'!$D$164</definedName>
    <definedName name="TwoDoorRefrigCostYear">'HGMD Unit Costs'!#REF!</definedName>
    <definedName name="TwoDoorRefrigLife">'HGMD Unit Costs'!#REF!</definedName>
    <definedName name="TwoDoorRefrigUnitCost">'HGMD Unit Costs'!#REF!</definedName>
    <definedName name="Unit">'HGMD Unit Costs'!$B$4:$B$8</definedName>
    <definedName name="Unit_Cost">'HGMD Unit Costs'!$D$4:$D$8</definedName>
    <definedName name="VehicleHoistCOstYear">'HGMD Unit Costs'!$C$167</definedName>
    <definedName name="VehicleHoistLife">'HGMD Unit Costs'!$E$167</definedName>
    <definedName name="VehicleHoistUnitCOst">'HGMD Unit Costs'!$D$167</definedName>
    <definedName name="VerticuttReelsCostYear">'HGMD Unit Costs'!$C$168</definedName>
    <definedName name="VerticuttReelsLife">'HGMD Unit Costs'!$E$168</definedName>
    <definedName name="VerticuttReelsUnitCOst">'HGMD Unit Costs'!$D$168</definedName>
    <definedName name="WaterfallRebuildCostYear">'HGMD Unit Costs'!$C$169</definedName>
    <definedName name="WaterfallRebuildLife">'HGMD Unit Costs'!$E$169</definedName>
    <definedName name="WaterfallRebuildUnitCost">'HGMD Unit Costs'!$D$169</definedName>
    <definedName name="WeatherStationCostYear">'HGMD Unit Costs'!$C$170</definedName>
    <definedName name="WeatherStationLife">'HGMD Unit Costs'!$E$170</definedName>
    <definedName name="WeatherStationUnitCost">'HGMD Unit Costs'!$D$170</definedName>
    <definedName name="WelcomeCenterCostYear">'HGMD Unit Costs'!$C$171</definedName>
    <definedName name="WelcomeCenterLife">'HGMD Unit Costs'!$E$171</definedName>
    <definedName name="WelcomeCenterUnitCost">'HGMD Unit Costs'!$D$171</definedName>
    <definedName name="WellPumpMotorRebuildCostYear">'HGMD Unit Costs'!$C$172</definedName>
    <definedName name="WellPumpMotorRebuildLife">'HGMD Unit Costs'!$E$172</definedName>
    <definedName name="WellPumpMotorRebuildUnitCOst">'HGMD Unit Costs'!$D$172</definedName>
    <definedName name="WellRehabCostYear">'HGMD Unit Costs'!$C$173</definedName>
    <definedName name="WellRehabLife">'HGMD Unit Costs'!$E$173</definedName>
    <definedName name="WellRehabUnitCost">'HGMD Unit Costs'!$D$173</definedName>
    <definedName name="WIndowsClubhouseCostYear">'HGMD Unit Costs'!$C$174</definedName>
    <definedName name="WIndowsClubhouseLife">'HGMD Unit Costs'!$E$174</definedName>
    <definedName name="WindowsClubhouseUnitCost">'HGMD Unit Costs'!$D$174</definedName>
    <definedName name="WindowsOfficeCostYear">'HGMD Unit Costs'!$C$175</definedName>
    <definedName name="WIndowsOfficeLife">'HGMD Unit Costs'!$E$175</definedName>
    <definedName name="WindowsOfficeUnitCost">'HGMD Unit Costs'!$D$175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8" i="58" l="1"/>
  <c r="G213" i="58"/>
  <c r="G181" i="58"/>
  <c r="G193" i="58"/>
  <c r="B3" i="55"/>
  <c r="AZ3" i="58"/>
  <c r="AZ4" i="58"/>
  <c r="AZ5" i="58"/>
  <c r="AZ6" i="58"/>
  <c r="AZ7" i="58"/>
  <c r="AZ8" i="58"/>
  <c r="AZ9" i="58"/>
  <c r="AZ10" i="58"/>
  <c r="AZ11" i="58"/>
  <c r="AZ12" i="58"/>
  <c r="AZ13" i="58"/>
  <c r="AZ14" i="58"/>
  <c r="AZ15" i="58"/>
  <c r="AZ16" i="58"/>
  <c r="AZ17" i="58"/>
  <c r="AZ18" i="58"/>
  <c r="AZ19" i="58"/>
  <c r="AZ20" i="58"/>
  <c r="AZ21" i="58"/>
  <c r="AZ22" i="58"/>
  <c r="AZ23" i="58"/>
  <c r="AZ24" i="58"/>
  <c r="AZ25" i="58"/>
  <c r="AZ26" i="58"/>
  <c r="AZ27" i="58"/>
  <c r="AZ28" i="58"/>
  <c r="AZ29" i="58"/>
  <c r="AZ30" i="58"/>
  <c r="AZ31" i="58"/>
  <c r="AZ32" i="58"/>
  <c r="AZ33" i="58"/>
  <c r="AZ34" i="58"/>
  <c r="AZ35" i="58"/>
  <c r="AZ36" i="58"/>
  <c r="AZ37" i="58"/>
  <c r="AZ38" i="58"/>
  <c r="AZ39" i="58"/>
  <c r="AZ40" i="58"/>
  <c r="AZ41" i="58"/>
  <c r="AZ42" i="58"/>
  <c r="AZ43" i="58"/>
  <c r="AZ44" i="58"/>
  <c r="AZ45" i="58"/>
  <c r="AZ46" i="58"/>
  <c r="AZ47" i="58"/>
  <c r="AZ48" i="58"/>
  <c r="AZ49" i="58"/>
  <c r="AZ50" i="58"/>
  <c r="AZ51" i="58"/>
  <c r="AZ52" i="58"/>
  <c r="AZ53" i="58"/>
  <c r="AZ54" i="58"/>
  <c r="AZ55" i="58"/>
  <c r="AZ56" i="58"/>
  <c r="AZ57" i="58"/>
  <c r="AZ58" i="58"/>
  <c r="AZ59" i="58"/>
  <c r="AZ60" i="58"/>
  <c r="AZ61" i="58"/>
  <c r="AZ62" i="58"/>
  <c r="AZ63" i="58"/>
  <c r="AZ64" i="58"/>
  <c r="AZ65" i="58"/>
  <c r="AZ66" i="58"/>
  <c r="AZ67" i="58"/>
  <c r="AZ68" i="58"/>
  <c r="AZ69" i="58"/>
  <c r="AZ70" i="58"/>
  <c r="AZ71" i="58"/>
  <c r="AZ72" i="58"/>
  <c r="AZ73" i="58"/>
  <c r="AZ74" i="58"/>
  <c r="AZ75" i="58"/>
  <c r="AZ76" i="58"/>
  <c r="AZ77" i="58"/>
  <c r="AZ78" i="58"/>
  <c r="AZ79" i="58"/>
  <c r="AZ80" i="58"/>
  <c r="AZ81" i="58"/>
  <c r="AZ82" i="58"/>
  <c r="AZ83" i="58"/>
  <c r="AZ84" i="58"/>
  <c r="AZ85" i="58"/>
  <c r="AZ86" i="58"/>
  <c r="AZ87" i="58"/>
  <c r="AZ88" i="58"/>
  <c r="AZ89" i="58"/>
  <c r="AZ90" i="58"/>
  <c r="AZ91" i="58"/>
  <c r="AZ92" i="58"/>
  <c r="AZ93" i="58"/>
  <c r="AZ94" i="58"/>
  <c r="AZ95" i="58"/>
  <c r="AZ96" i="58"/>
  <c r="AZ97" i="58"/>
  <c r="AZ98" i="58"/>
  <c r="AZ99" i="58"/>
  <c r="AZ100" i="58"/>
  <c r="AZ101" i="58"/>
  <c r="AZ102" i="58"/>
  <c r="AZ103" i="58"/>
  <c r="AZ104" i="58"/>
  <c r="AZ105" i="58"/>
  <c r="AZ106" i="58"/>
  <c r="AZ107" i="58"/>
  <c r="AZ108" i="58"/>
  <c r="AZ109" i="58"/>
  <c r="AZ110" i="58"/>
  <c r="AZ111" i="58"/>
  <c r="AZ112" i="58"/>
  <c r="AZ113" i="58"/>
  <c r="AZ114" i="58"/>
  <c r="AZ115" i="58"/>
  <c r="AZ116" i="58"/>
  <c r="AZ117" i="58"/>
  <c r="AZ118" i="58"/>
  <c r="AZ119" i="58"/>
  <c r="AZ120" i="58"/>
  <c r="AZ121" i="58"/>
  <c r="AZ122" i="58"/>
  <c r="AZ123" i="58"/>
  <c r="AZ124" i="58"/>
  <c r="AZ125" i="58"/>
  <c r="AZ126" i="58"/>
  <c r="AZ127" i="58"/>
  <c r="AZ129" i="58"/>
  <c r="AZ130" i="58"/>
  <c r="AZ131" i="58"/>
  <c r="AZ132" i="58"/>
  <c r="AZ133" i="58"/>
  <c r="AZ134" i="58"/>
  <c r="AZ135" i="58"/>
  <c r="AZ136" i="58"/>
  <c r="AZ137" i="58"/>
  <c r="AZ138" i="58"/>
  <c r="AZ139" i="58"/>
  <c r="AZ140" i="58"/>
  <c r="AZ141" i="58"/>
  <c r="AZ142" i="58"/>
  <c r="AZ143" i="58"/>
  <c r="AZ144" i="58"/>
  <c r="AZ145" i="58"/>
  <c r="AZ146" i="58"/>
  <c r="AZ147" i="58"/>
  <c r="AZ148" i="58"/>
  <c r="AZ149" i="58"/>
  <c r="AZ150" i="58"/>
  <c r="AZ151" i="58"/>
  <c r="AZ152" i="58"/>
  <c r="AZ153" i="58"/>
  <c r="AZ154" i="58"/>
  <c r="AZ155" i="58"/>
  <c r="AZ156" i="58"/>
  <c r="AZ157" i="58"/>
  <c r="AZ158" i="58"/>
  <c r="AZ159" i="58"/>
  <c r="AZ160" i="58"/>
  <c r="AZ161" i="58"/>
  <c r="AZ162" i="58"/>
  <c r="AZ163" i="58"/>
  <c r="AZ164" i="58"/>
  <c r="AZ165" i="58"/>
  <c r="AZ166" i="58"/>
  <c r="AZ167" i="58"/>
  <c r="AZ168" i="58"/>
  <c r="AZ169" i="58"/>
  <c r="AZ170" i="58"/>
  <c r="AZ171" i="58"/>
  <c r="AZ172" i="58"/>
  <c r="AZ173" i="58"/>
  <c r="AZ174" i="58"/>
  <c r="AZ175" i="58"/>
  <c r="AZ176" i="58"/>
  <c r="AZ177" i="58"/>
  <c r="AZ178" i="58"/>
  <c r="AZ179" i="58"/>
  <c r="AZ180" i="58"/>
  <c r="AZ181" i="58"/>
  <c r="AZ182" i="58"/>
  <c r="AZ183" i="58"/>
  <c r="AZ184" i="58"/>
  <c r="AZ185" i="58"/>
  <c r="AZ186" i="58"/>
  <c r="AZ187" i="58"/>
  <c r="AZ188" i="58"/>
  <c r="AZ189" i="58"/>
  <c r="AZ190" i="58"/>
  <c r="AZ191" i="58"/>
  <c r="G1" i="58"/>
  <c r="G195" i="58"/>
  <c r="B5" i="55"/>
  <c r="AX3" i="58"/>
  <c r="AX4" i="58"/>
  <c r="AX5" i="58"/>
  <c r="AX6" i="58"/>
  <c r="AX7" i="58"/>
  <c r="AX8" i="58"/>
  <c r="AX9" i="58"/>
  <c r="AX10" i="58"/>
  <c r="AX11" i="58"/>
  <c r="AX12" i="58"/>
  <c r="AX13" i="58"/>
  <c r="AX14" i="58"/>
  <c r="AX15" i="58"/>
  <c r="AX16" i="58"/>
  <c r="AX17" i="58"/>
  <c r="AX18" i="58"/>
  <c r="AX19" i="58"/>
  <c r="AX20" i="58"/>
  <c r="AX21" i="58"/>
  <c r="AX22" i="58"/>
  <c r="AX23" i="58"/>
  <c r="AX24" i="58"/>
  <c r="AX25" i="58"/>
  <c r="AX26" i="58"/>
  <c r="AX27" i="58"/>
  <c r="AX28" i="58"/>
  <c r="AX29" i="58"/>
  <c r="AX30" i="58"/>
  <c r="AX31" i="58"/>
  <c r="AX32" i="58"/>
  <c r="AX33" i="58"/>
  <c r="AX34" i="58"/>
  <c r="AX35" i="58"/>
  <c r="AX36" i="58"/>
  <c r="AX37" i="58"/>
  <c r="AX38" i="58"/>
  <c r="AX39" i="58"/>
  <c r="AX40" i="58"/>
  <c r="AX41" i="58"/>
  <c r="AX42" i="58"/>
  <c r="AX43" i="58"/>
  <c r="AX44" i="58"/>
  <c r="AX45" i="58"/>
  <c r="AX46" i="58"/>
  <c r="AX47" i="58"/>
  <c r="AX48" i="58"/>
  <c r="AX49" i="58"/>
  <c r="AX50" i="58"/>
  <c r="AX51" i="58"/>
  <c r="AX52" i="58"/>
  <c r="AX53" i="58"/>
  <c r="AX54" i="58"/>
  <c r="AX55" i="58"/>
  <c r="AX56" i="58"/>
  <c r="AX57" i="58"/>
  <c r="AX58" i="58"/>
  <c r="AX59" i="58"/>
  <c r="AX60" i="58"/>
  <c r="AX61" i="58"/>
  <c r="AX62" i="58"/>
  <c r="AX63" i="58"/>
  <c r="AX64" i="58"/>
  <c r="AX65" i="58"/>
  <c r="AX66" i="58"/>
  <c r="AX67" i="58"/>
  <c r="AX68" i="58"/>
  <c r="AX69" i="58"/>
  <c r="AX70" i="58"/>
  <c r="AX71" i="58"/>
  <c r="AX72" i="58"/>
  <c r="AX73" i="58"/>
  <c r="AX74" i="58"/>
  <c r="AX75" i="58"/>
  <c r="AX76" i="58"/>
  <c r="AX77" i="58"/>
  <c r="AX78" i="58"/>
  <c r="AX79" i="58"/>
  <c r="AX80" i="58"/>
  <c r="AX81" i="58"/>
  <c r="AX82" i="58"/>
  <c r="AX83" i="58"/>
  <c r="AX84" i="58"/>
  <c r="AX85" i="58"/>
  <c r="AX86" i="58"/>
  <c r="AX87" i="58"/>
  <c r="AX88" i="58"/>
  <c r="AX89" i="58"/>
  <c r="AX90" i="58"/>
  <c r="AX91" i="58"/>
  <c r="AX92" i="58"/>
  <c r="AX93" i="58"/>
  <c r="AX94" i="58"/>
  <c r="AX95" i="58"/>
  <c r="AX96" i="58"/>
  <c r="AX97" i="58"/>
  <c r="AX98" i="58"/>
  <c r="AX99" i="58"/>
  <c r="AX100" i="58"/>
  <c r="AX101" i="58"/>
  <c r="AX102" i="58"/>
  <c r="AX103" i="58"/>
  <c r="AX104" i="58"/>
  <c r="AX105" i="58"/>
  <c r="AX106" i="58"/>
  <c r="AX107" i="58"/>
  <c r="AX108" i="58"/>
  <c r="AX109" i="58"/>
  <c r="AX110" i="58"/>
  <c r="AX111" i="58"/>
  <c r="AX112" i="58"/>
  <c r="AX113" i="58"/>
  <c r="AX114" i="58"/>
  <c r="AX115" i="58"/>
  <c r="AX116" i="58"/>
  <c r="AX117" i="58"/>
  <c r="AX118" i="58"/>
  <c r="AX119" i="58"/>
  <c r="AX120" i="58"/>
  <c r="AX121" i="58"/>
  <c r="AX122" i="58"/>
  <c r="AX123" i="58"/>
  <c r="AX124" i="58"/>
  <c r="AX125" i="58"/>
  <c r="AX126" i="58"/>
  <c r="AX127" i="58"/>
  <c r="AX129" i="58"/>
  <c r="AX130" i="58"/>
  <c r="AX131" i="58"/>
  <c r="AX132" i="58"/>
  <c r="AX133" i="58"/>
  <c r="AX134" i="58"/>
  <c r="AX135" i="58"/>
  <c r="AX136" i="58"/>
  <c r="AX137" i="58"/>
  <c r="AX138" i="58"/>
  <c r="AX139" i="58"/>
  <c r="AX140" i="58"/>
  <c r="AX141" i="58"/>
  <c r="AX142" i="58"/>
  <c r="AX143" i="58"/>
  <c r="AX144" i="58"/>
  <c r="AX145" i="58"/>
  <c r="AX146" i="58"/>
  <c r="AX147" i="58"/>
  <c r="AX148" i="58"/>
  <c r="AX149" i="58"/>
  <c r="AX150" i="58"/>
  <c r="AX151" i="58"/>
  <c r="AX152" i="58"/>
  <c r="AX153" i="58"/>
  <c r="AX154" i="58"/>
  <c r="AX155" i="58"/>
  <c r="AX156" i="58"/>
  <c r="AX157" i="58"/>
  <c r="AX158" i="58"/>
  <c r="AX159" i="58"/>
  <c r="AX160" i="58"/>
  <c r="AX161" i="58"/>
  <c r="AX162" i="58"/>
  <c r="AX163" i="58"/>
  <c r="AX164" i="58"/>
  <c r="AX165" i="58"/>
  <c r="AX166" i="58"/>
  <c r="AX167" i="58"/>
  <c r="AX168" i="58"/>
  <c r="AX169" i="58"/>
  <c r="AX170" i="58"/>
  <c r="AX171" i="58"/>
  <c r="AX172" i="58"/>
  <c r="AX173" i="58"/>
  <c r="AX174" i="58"/>
  <c r="AX175" i="58"/>
  <c r="AX176" i="58"/>
  <c r="AX177" i="58"/>
  <c r="AX178" i="58"/>
  <c r="AX179" i="58"/>
  <c r="AX180" i="58"/>
  <c r="AX181" i="58"/>
  <c r="AX182" i="58"/>
  <c r="AX183" i="58"/>
  <c r="AX184" i="58"/>
  <c r="AX185" i="58"/>
  <c r="AX186" i="58"/>
  <c r="AX187" i="58"/>
  <c r="AX188" i="58"/>
  <c r="AX189" i="58"/>
  <c r="AX190" i="58"/>
  <c r="AX191" i="58"/>
  <c r="AW3" i="58"/>
  <c r="AW4" i="58"/>
  <c r="AW5" i="58"/>
  <c r="AW6" i="58"/>
  <c r="AW7" i="58"/>
  <c r="AW8" i="58"/>
  <c r="AW9" i="58"/>
  <c r="AW10" i="58"/>
  <c r="AW11" i="58"/>
  <c r="AW12" i="58"/>
  <c r="AW13" i="58"/>
  <c r="AW14" i="58"/>
  <c r="AW15" i="58"/>
  <c r="AW16" i="58"/>
  <c r="AW17" i="58"/>
  <c r="AW18" i="58"/>
  <c r="AW19" i="58"/>
  <c r="AW20" i="58"/>
  <c r="AW21" i="58"/>
  <c r="AW22" i="58"/>
  <c r="AW23" i="58"/>
  <c r="AW24" i="58"/>
  <c r="AW25" i="58"/>
  <c r="AW26" i="58"/>
  <c r="AW27" i="58"/>
  <c r="AW28" i="58"/>
  <c r="AW29" i="58"/>
  <c r="AW30" i="58"/>
  <c r="AW31" i="58"/>
  <c r="AW32" i="58"/>
  <c r="AW33" i="58"/>
  <c r="AW34" i="58"/>
  <c r="AW35" i="58"/>
  <c r="AW36" i="58"/>
  <c r="AW37" i="58"/>
  <c r="AW38" i="58"/>
  <c r="AW39" i="58"/>
  <c r="AW40" i="58"/>
  <c r="AW41" i="58"/>
  <c r="AW42" i="58"/>
  <c r="AW43" i="58"/>
  <c r="AW44" i="58"/>
  <c r="AW45" i="58"/>
  <c r="AW46" i="58"/>
  <c r="AW47" i="58"/>
  <c r="AW48" i="58"/>
  <c r="AW49" i="58"/>
  <c r="AW50" i="58"/>
  <c r="AW51" i="58"/>
  <c r="AW52" i="58"/>
  <c r="AW53" i="58"/>
  <c r="AW54" i="58"/>
  <c r="AW55" i="58"/>
  <c r="AW56" i="58"/>
  <c r="AW57" i="58"/>
  <c r="AW58" i="58"/>
  <c r="AW59" i="58"/>
  <c r="AW60" i="58"/>
  <c r="AW61" i="58"/>
  <c r="AW62" i="58"/>
  <c r="AW63" i="58"/>
  <c r="AW64" i="58"/>
  <c r="AW65" i="58"/>
  <c r="AW66" i="58"/>
  <c r="AW67" i="58"/>
  <c r="AW68" i="58"/>
  <c r="AW69" i="58"/>
  <c r="AW70" i="58"/>
  <c r="AW71" i="58"/>
  <c r="AW72" i="58"/>
  <c r="AW73" i="58"/>
  <c r="AW74" i="58"/>
  <c r="AW75" i="58"/>
  <c r="AW76" i="58"/>
  <c r="AW77" i="58"/>
  <c r="AW78" i="58"/>
  <c r="AW79" i="58"/>
  <c r="AW80" i="58"/>
  <c r="AW81" i="58"/>
  <c r="AW82" i="58"/>
  <c r="AW83" i="58"/>
  <c r="AW84" i="58"/>
  <c r="AW85" i="58"/>
  <c r="AW86" i="58"/>
  <c r="AW87" i="58"/>
  <c r="AW88" i="58"/>
  <c r="AW89" i="58"/>
  <c r="AW90" i="58"/>
  <c r="AW91" i="58"/>
  <c r="AW92" i="58"/>
  <c r="AW93" i="58"/>
  <c r="AW94" i="58"/>
  <c r="AW95" i="58"/>
  <c r="AW96" i="58"/>
  <c r="AW97" i="58"/>
  <c r="AW98" i="58"/>
  <c r="AW99" i="58"/>
  <c r="AW100" i="58"/>
  <c r="AW101" i="58"/>
  <c r="AW102" i="58"/>
  <c r="AW103" i="58"/>
  <c r="AW104" i="58"/>
  <c r="AW105" i="58"/>
  <c r="AW106" i="58"/>
  <c r="AW107" i="58"/>
  <c r="AW108" i="58"/>
  <c r="AW109" i="58"/>
  <c r="AW110" i="58"/>
  <c r="AW111" i="58"/>
  <c r="AW112" i="58"/>
  <c r="AW113" i="58"/>
  <c r="AW114" i="58"/>
  <c r="AW115" i="58"/>
  <c r="AW116" i="58"/>
  <c r="AW117" i="58"/>
  <c r="AW118" i="58"/>
  <c r="AW119" i="58"/>
  <c r="AW120" i="58"/>
  <c r="AW121" i="58"/>
  <c r="AW122" i="58"/>
  <c r="AW123" i="58"/>
  <c r="AW124" i="58"/>
  <c r="AW125" i="58"/>
  <c r="AW126" i="58"/>
  <c r="AW127" i="58"/>
  <c r="AW129" i="58"/>
  <c r="AW130" i="58"/>
  <c r="AW131" i="58"/>
  <c r="AW132" i="58"/>
  <c r="AW133" i="58"/>
  <c r="AW134" i="58"/>
  <c r="AW135" i="58"/>
  <c r="AW136" i="58"/>
  <c r="AW137" i="58"/>
  <c r="AW138" i="58"/>
  <c r="AW139" i="58"/>
  <c r="AW140" i="58"/>
  <c r="AW141" i="58"/>
  <c r="AW142" i="58"/>
  <c r="AW143" i="58"/>
  <c r="AW144" i="58"/>
  <c r="AW145" i="58"/>
  <c r="AW146" i="58"/>
  <c r="AW147" i="58"/>
  <c r="AW148" i="58"/>
  <c r="AW149" i="58"/>
  <c r="AW150" i="58"/>
  <c r="AW151" i="58"/>
  <c r="AW152" i="58"/>
  <c r="AW153" i="58"/>
  <c r="AW154" i="58"/>
  <c r="AW155" i="58"/>
  <c r="AW156" i="58"/>
  <c r="AW157" i="58"/>
  <c r="AW158" i="58"/>
  <c r="AW159" i="58"/>
  <c r="AW160" i="58"/>
  <c r="AW161" i="58"/>
  <c r="AW162" i="58"/>
  <c r="AW163" i="58"/>
  <c r="AW164" i="58"/>
  <c r="AW165" i="58"/>
  <c r="AW166" i="58"/>
  <c r="AW167" i="58"/>
  <c r="AW168" i="58"/>
  <c r="AW169" i="58"/>
  <c r="AW170" i="58"/>
  <c r="AW171" i="58"/>
  <c r="AW172" i="58"/>
  <c r="AW173" i="58"/>
  <c r="AW174" i="58"/>
  <c r="AW175" i="58"/>
  <c r="AW176" i="58"/>
  <c r="AW177" i="58"/>
  <c r="AW178" i="58"/>
  <c r="AW179" i="58"/>
  <c r="AW180" i="58"/>
  <c r="AW181" i="58"/>
  <c r="AW182" i="58"/>
  <c r="AW183" i="58"/>
  <c r="AW184" i="58"/>
  <c r="AW185" i="58"/>
  <c r="AW186" i="58"/>
  <c r="AW187" i="58"/>
  <c r="AW188" i="58"/>
  <c r="AW189" i="58"/>
  <c r="AW190" i="58"/>
  <c r="AW191" i="58"/>
  <c r="G197" i="58"/>
  <c r="B8" i="55"/>
  <c r="B10" i="55"/>
  <c r="B11" i="55"/>
  <c r="M1" i="58"/>
  <c r="L1" i="59"/>
  <c r="F3" i="58"/>
  <c r="E3" i="58"/>
  <c r="K3" i="58"/>
  <c r="AT3" i="58"/>
  <c r="AU3" i="58"/>
  <c r="E3" i="60"/>
  <c r="H3" i="60"/>
  <c r="F4" i="58"/>
  <c r="E4" i="58"/>
  <c r="K4" i="58"/>
  <c r="AT4" i="58"/>
  <c r="AU4" i="58"/>
  <c r="E4" i="60"/>
  <c r="H4" i="60"/>
  <c r="F5" i="58"/>
  <c r="H5" i="58"/>
  <c r="E5" i="58"/>
  <c r="K5" i="58"/>
  <c r="AT5" i="58"/>
  <c r="AU5" i="58"/>
  <c r="E5" i="60"/>
  <c r="F6" i="58"/>
  <c r="E6" i="58"/>
  <c r="K6" i="58"/>
  <c r="AT6" i="58"/>
  <c r="AU6" i="58"/>
  <c r="E6" i="60"/>
  <c r="H6" i="60"/>
  <c r="F7" i="58"/>
  <c r="E7" i="58"/>
  <c r="K7" i="58"/>
  <c r="AT7" i="58"/>
  <c r="AU7" i="58"/>
  <c r="E7" i="60"/>
  <c r="F8" i="58"/>
  <c r="H8" i="58"/>
  <c r="G8" i="60"/>
  <c r="E8" i="58"/>
  <c r="K8" i="58"/>
  <c r="AT8" i="58"/>
  <c r="AU8" i="58"/>
  <c r="E8" i="60"/>
  <c r="H8" i="60"/>
  <c r="K8" i="59"/>
  <c r="F9" i="58"/>
  <c r="H9" i="58"/>
  <c r="E9" i="58"/>
  <c r="K9" i="58"/>
  <c r="AT9" i="58"/>
  <c r="AU9" i="58"/>
  <c r="E9" i="60"/>
  <c r="H9" i="60"/>
  <c r="F10" i="58"/>
  <c r="H10" i="58"/>
  <c r="E10" i="58"/>
  <c r="K10" i="58"/>
  <c r="AT10" i="58"/>
  <c r="AU10" i="58"/>
  <c r="M10" i="58"/>
  <c r="E10" i="60"/>
  <c r="F11" i="58"/>
  <c r="E11" i="58"/>
  <c r="H11" i="58"/>
  <c r="K11" i="58"/>
  <c r="H11" i="60"/>
  <c r="AT11" i="58"/>
  <c r="AU11" i="58"/>
  <c r="E11" i="60"/>
  <c r="F12" i="58"/>
  <c r="H12" i="58"/>
  <c r="E12" i="58"/>
  <c r="K12" i="58"/>
  <c r="AT12" i="58"/>
  <c r="AU12" i="58"/>
  <c r="E12" i="60"/>
  <c r="H12" i="60"/>
  <c r="F12" i="60"/>
  <c r="F13" i="58"/>
  <c r="H13" i="58"/>
  <c r="E13" i="58"/>
  <c r="K13" i="58"/>
  <c r="AT13" i="58"/>
  <c r="AU13" i="58"/>
  <c r="E13" i="60"/>
  <c r="H13" i="60"/>
  <c r="F14" i="58"/>
  <c r="E14" i="58"/>
  <c r="H14" i="58"/>
  <c r="K14" i="58"/>
  <c r="AT14" i="58"/>
  <c r="AU14" i="58"/>
  <c r="E14" i="60"/>
  <c r="F15" i="58"/>
  <c r="E15" i="58"/>
  <c r="K15" i="58"/>
  <c r="H15" i="60"/>
  <c r="F15" i="60"/>
  <c r="AT15" i="58"/>
  <c r="AU15" i="58"/>
  <c r="E15" i="60"/>
  <c r="F16" i="58"/>
  <c r="H16" i="58"/>
  <c r="E16" i="58"/>
  <c r="K16" i="58"/>
  <c r="AT16" i="58"/>
  <c r="AU16" i="58"/>
  <c r="E16" i="60"/>
  <c r="H16" i="60"/>
  <c r="F17" i="58"/>
  <c r="E17" i="58"/>
  <c r="K17" i="58"/>
  <c r="AT17" i="58"/>
  <c r="AU17" i="58"/>
  <c r="E17" i="60"/>
  <c r="F18" i="58"/>
  <c r="E18" i="58"/>
  <c r="K18" i="58"/>
  <c r="AT18" i="58"/>
  <c r="AU18" i="58"/>
  <c r="E18" i="60"/>
  <c r="H18" i="60"/>
  <c r="F19" i="58"/>
  <c r="H19" i="58"/>
  <c r="E19" i="58"/>
  <c r="K19" i="58"/>
  <c r="H19" i="60"/>
  <c r="F19" i="60"/>
  <c r="AT19" i="58"/>
  <c r="AU19" i="58"/>
  <c r="E19" i="60"/>
  <c r="F20" i="58"/>
  <c r="H20" i="58"/>
  <c r="E20" i="58"/>
  <c r="K20" i="58"/>
  <c r="AT20" i="58"/>
  <c r="AU20" i="58"/>
  <c r="E20" i="60"/>
  <c r="F21" i="58"/>
  <c r="H21" i="58"/>
  <c r="E21" i="58"/>
  <c r="K21" i="58"/>
  <c r="AT21" i="58"/>
  <c r="AU21" i="58"/>
  <c r="E21" i="60"/>
  <c r="F22" i="58"/>
  <c r="E22" i="58"/>
  <c r="K22" i="58"/>
  <c r="AT22" i="58"/>
  <c r="AU22" i="58"/>
  <c r="E22" i="60"/>
  <c r="F23" i="58"/>
  <c r="E23" i="58"/>
  <c r="H23" i="58"/>
  <c r="K23" i="58"/>
  <c r="H23" i="60"/>
  <c r="AT23" i="58"/>
  <c r="AU23" i="58"/>
  <c r="E23" i="60"/>
  <c r="F24" i="58"/>
  <c r="E24" i="58"/>
  <c r="K24" i="58"/>
  <c r="AT24" i="58"/>
  <c r="AU24" i="58"/>
  <c r="E24" i="60"/>
  <c r="F25" i="58"/>
  <c r="E25" i="58"/>
  <c r="H25" i="58"/>
  <c r="K25" i="58"/>
  <c r="AT25" i="58"/>
  <c r="AU25" i="58"/>
  <c r="E25" i="60"/>
  <c r="F26" i="58"/>
  <c r="E26" i="58"/>
  <c r="H26" i="58"/>
  <c r="K26" i="58"/>
  <c r="AT26" i="58"/>
  <c r="AU26" i="58"/>
  <c r="E26" i="60"/>
  <c r="H26" i="60"/>
  <c r="F26" i="60"/>
  <c r="F27" i="58"/>
  <c r="E27" i="58"/>
  <c r="K27" i="58"/>
  <c r="AT27" i="58"/>
  <c r="AU27" i="58"/>
  <c r="E27" i="60"/>
  <c r="F28" i="58"/>
  <c r="H28" i="58"/>
  <c r="E28" i="58"/>
  <c r="K28" i="58"/>
  <c r="H28" i="60"/>
  <c r="AT28" i="58"/>
  <c r="AU28" i="58"/>
  <c r="E28" i="60"/>
  <c r="F29" i="58"/>
  <c r="H29" i="58"/>
  <c r="E29" i="58"/>
  <c r="K29" i="58"/>
  <c r="AT29" i="58"/>
  <c r="AU29" i="58"/>
  <c r="E29" i="60"/>
  <c r="F30" i="58"/>
  <c r="H30" i="58"/>
  <c r="E30" i="58"/>
  <c r="K30" i="58"/>
  <c r="AT30" i="58"/>
  <c r="AU30" i="58"/>
  <c r="E30" i="60"/>
  <c r="F31" i="58"/>
  <c r="E31" i="58"/>
  <c r="H31" i="58"/>
  <c r="K31" i="58"/>
  <c r="AT31" i="58"/>
  <c r="AU31" i="58"/>
  <c r="E31" i="60"/>
  <c r="H31" i="60"/>
  <c r="F32" i="58"/>
  <c r="H32" i="58"/>
  <c r="E32" i="58"/>
  <c r="K32" i="58"/>
  <c r="AT32" i="58"/>
  <c r="AU32" i="58"/>
  <c r="E32" i="60"/>
  <c r="F33" i="58"/>
  <c r="E33" i="58"/>
  <c r="K33" i="58"/>
  <c r="AT33" i="58"/>
  <c r="AU33" i="58"/>
  <c r="E33" i="60"/>
  <c r="F34" i="58"/>
  <c r="E34" i="58"/>
  <c r="H34" i="58"/>
  <c r="K34" i="58"/>
  <c r="AT34" i="58"/>
  <c r="AU34" i="58"/>
  <c r="E34" i="60"/>
  <c r="H34" i="60"/>
  <c r="F35" i="58"/>
  <c r="E35" i="58"/>
  <c r="K35" i="58"/>
  <c r="AT35" i="58"/>
  <c r="AU35" i="58"/>
  <c r="F36" i="58"/>
  <c r="H36" i="58"/>
  <c r="E36" i="58"/>
  <c r="K36" i="58"/>
  <c r="AT36" i="58"/>
  <c r="AU36" i="58"/>
  <c r="E36" i="60"/>
  <c r="H36" i="60"/>
  <c r="F37" i="58"/>
  <c r="E37" i="58"/>
  <c r="K37" i="58"/>
  <c r="AT37" i="58"/>
  <c r="AU37" i="58"/>
  <c r="E37" i="60"/>
  <c r="H37" i="60"/>
  <c r="F37" i="60"/>
  <c r="F38" i="58"/>
  <c r="H38" i="58"/>
  <c r="E38" i="58"/>
  <c r="K38" i="58"/>
  <c r="AT38" i="58"/>
  <c r="AU38" i="58"/>
  <c r="E38" i="60"/>
  <c r="H38" i="60"/>
  <c r="F39" i="58"/>
  <c r="E39" i="58"/>
  <c r="H39" i="58"/>
  <c r="K39" i="58"/>
  <c r="AT39" i="58"/>
  <c r="AU39" i="58"/>
  <c r="E39" i="60"/>
  <c r="H39" i="60"/>
  <c r="F40" i="58"/>
  <c r="E40" i="58"/>
  <c r="K40" i="58"/>
  <c r="AT40" i="58"/>
  <c r="AU40" i="58"/>
  <c r="E40" i="60"/>
  <c r="F41" i="58"/>
  <c r="E41" i="58"/>
  <c r="K41" i="58"/>
  <c r="AT41" i="58"/>
  <c r="AU41" i="58"/>
  <c r="E41" i="60"/>
  <c r="F42" i="58"/>
  <c r="H42" i="58"/>
  <c r="E42" i="58"/>
  <c r="K42" i="58"/>
  <c r="AT42" i="58"/>
  <c r="AU42" i="58"/>
  <c r="E42" i="60"/>
  <c r="F43" i="58"/>
  <c r="E43" i="58"/>
  <c r="H43" i="58"/>
  <c r="K43" i="58"/>
  <c r="AT43" i="58"/>
  <c r="AU43" i="58"/>
  <c r="E43" i="60"/>
  <c r="H43" i="60"/>
  <c r="F43" i="60"/>
  <c r="F44" i="58"/>
  <c r="E44" i="58"/>
  <c r="H44" i="58"/>
  <c r="K44" i="58"/>
  <c r="AT44" i="58"/>
  <c r="AU44" i="58"/>
  <c r="E44" i="60"/>
  <c r="H44" i="60"/>
  <c r="F44" i="60"/>
  <c r="F45" i="58"/>
  <c r="E45" i="58"/>
  <c r="K45" i="58"/>
  <c r="AT45" i="58"/>
  <c r="AU45" i="58"/>
  <c r="E45" i="60"/>
  <c r="F46" i="58"/>
  <c r="E46" i="58"/>
  <c r="H46" i="58"/>
  <c r="K46" i="58"/>
  <c r="AT46" i="58"/>
  <c r="AU46" i="58"/>
  <c r="F47" i="58"/>
  <c r="E47" i="58"/>
  <c r="K47" i="58"/>
  <c r="AT47" i="58"/>
  <c r="AU47" i="58"/>
  <c r="E47" i="60"/>
  <c r="F48" i="58"/>
  <c r="E48" i="58"/>
  <c r="K48" i="58"/>
  <c r="AT48" i="58"/>
  <c r="AU48" i="58"/>
  <c r="E48" i="60"/>
  <c r="F49" i="58"/>
  <c r="H49" i="58"/>
  <c r="E49" i="58"/>
  <c r="K49" i="58"/>
  <c r="AT49" i="58"/>
  <c r="AU49" i="58"/>
  <c r="E49" i="60"/>
  <c r="F50" i="58"/>
  <c r="E50" i="58"/>
  <c r="K50" i="58"/>
  <c r="AT50" i="58"/>
  <c r="AU50" i="58"/>
  <c r="E50" i="60"/>
  <c r="F51" i="58"/>
  <c r="E51" i="58"/>
  <c r="H51" i="58"/>
  <c r="K51" i="58"/>
  <c r="AT51" i="58"/>
  <c r="AU51" i="58"/>
  <c r="E51" i="60"/>
  <c r="H51" i="60"/>
  <c r="F51" i="60"/>
  <c r="F52" i="58"/>
  <c r="H52" i="58"/>
  <c r="E52" i="58"/>
  <c r="K52" i="58"/>
  <c r="AT52" i="58"/>
  <c r="AU52" i="58"/>
  <c r="E52" i="60"/>
  <c r="H52" i="60"/>
  <c r="F53" i="58"/>
  <c r="H53" i="58"/>
  <c r="E53" i="58"/>
  <c r="K53" i="58"/>
  <c r="AT53" i="58"/>
  <c r="AU53" i="58"/>
  <c r="E53" i="60"/>
  <c r="H53" i="60"/>
  <c r="F53" i="60"/>
  <c r="F54" i="58"/>
  <c r="E54" i="58"/>
  <c r="H54" i="58"/>
  <c r="K54" i="58"/>
  <c r="AT54" i="58"/>
  <c r="AU54" i="58"/>
  <c r="E54" i="60"/>
  <c r="H54" i="60"/>
  <c r="F55" i="58"/>
  <c r="H55" i="58"/>
  <c r="E55" i="58"/>
  <c r="K55" i="58"/>
  <c r="AT55" i="58"/>
  <c r="AU55" i="58"/>
  <c r="E55" i="60"/>
  <c r="F56" i="58"/>
  <c r="H56" i="58"/>
  <c r="E56" i="58"/>
  <c r="K56" i="58"/>
  <c r="AT56" i="58"/>
  <c r="AU56" i="58"/>
  <c r="E56" i="60"/>
  <c r="H56" i="60"/>
  <c r="F57" i="58"/>
  <c r="E57" i="58"/>
  <c r="K57" i="58"/>
  <c r="AT57" i="58"/>
  <c r="AU57" i="58"/>
  <c r="E57" i="60"/>
  <c r="F58" i="58"/>
  <c r="H58" i="58"/>
  <c r="E58" i="58"/>
  <c r="K58" i="58"/>
  <c r="AT58" i="58"/>
  <c r="AU58" i="58"/>
  <c r="E58" i="60"/>
  <c r="H58" i="60"/>
  <c r="F59" i="58"/>
  <c r="H59" i="58"/>
  <c r="E59" i="58"/>
  <c r="K59" i="58"/>
  <c r="AT59" i="58"/>
  <c r="AU59" i="58"/>
  <c r="E59" i="60"/>
  <c r="H59" i="60"/>
  <c r="F59" i="60"/>
  <c r="F60" i="58"/>
  <c r="E60" i="58"/>
  <c r="K60" i="58"/>
  <c r="H60" i="60"/>
  <c r="AT60" i="58"/>
  <c r="AU60" i="58"/>
  <c r="E60" i="60"/>
  <c r="F61" i="58"/>
  <c r="H61" i="58"/>
  <c r="E61" i="58"/>
  <c r="K61" i="58"/>
  <c r="H61" i="60"/>
  <c r="F61" i="60"/>
  <c r="AT61" i="58"/>
  <c r="AU61" i="58"/>
  <c r="E61" i="60"/>
  <c r="F62" i="58"/>
  <c r="E62" i="58"/>
  <c r="H62" i="58"/>
  <c r="K62" i="58"/>
  <c r="AT62" i="58"/>
  <c r="AU62" i="58"/>
  <c r="E62" i="60"/>
  <c r="F63" i="58"/>
  <c r="E63" i="58"/>
  <c r="K63" i="58"/>
  <c r="AT63" i="58"/>
  <c r="AU63" i="58"/>
  <c r="E63" i="60"/>
  <c r="F64" i="58"/>
  <c r="E64" i="58"/>
  <c r="K64" i="58"/>
  <c r="AT64" i="58"/>
  <c r="AU64" i="58"/>
  <c r="E64" i="60"/>
  <c r="F65" i="58"/>
  <c r="E65" i="58"/>
  <c r="H65" i="58"/>
  <c r="K65" i="58"/>
  <c r="AT65" i="58"/>
  <c r="AU65" i="58"/>
  <c r="E65" i="60"/>
  <c r="F66" i="58"/>
  <c r="E66" i="58"/>
  <c r="K66" i="58"/>
  <c r="AT66" i="58"/>
  <c r="AU66" i="58"/>
  <c r="E66" i="60"/>
  <c r="F67" i="58"/>
  <c r="E67" i="58"/>
  <c r="K67" i="58"/>
  <c r="AT67" i="58"/>
  <c r="AU67" i="58"/>
  <c r="E67" i="60"/>
  <c r="F68" i="58"/>
  <c r="E68" i="58"/>
  <c r="H68" i="58"/>
  <c r="K68" i="58"/>
  <c r="AT68" i="58"/>
  <c r="AU68" i="58"/>
  <c r="E68" i="60"/>
  <c r="F69" i="58"/>
  <c r="H69" i="58"/>
  <c r="E69" i="58"/>
  <c r="K69" i="58"/>
  <c r="AT69" i="58"/>
  <c r="AU69" i="58"/>
  <c r="E69" i="60"/>
  <c r="F70" i="58"/>
  <c r="E70" i="58"/>
  <c r="K70" i="58"/>
  <c r="AT70" i="58"/>
  <c r="AU70" i="58"/>
  <c r="E70" i="60"/>
  <c r="H70" i="60"/>
  <c r="F70" i="60"/>
  <c r="F71" i="58"/>
  <c r="E71" i="58"/>
  <c r="K71" i="58"/>
  <c r="AT71" i="58"/>
  <c r="AU71" i="58"/>
  <c r="E71" i="60"/>
  <c r="H71" i="60"/>
  <c r="F71" i="60"/>
  <c r="F72" i="58"/>
  <c r="E72" i="58"/>
  <c r="K72" i="58"/>
  <c r="AT72" i="58"/>
  <c r="AU72" i="58"/>
  <c r="E72" i="60"/>
  <c r="F73" i="58"/>
  <c r="E73" i="58"/>
  <c r="K73" i="58"/>
  <c r="AT73" i="58"/>
  <c r="AU73" i="58"/>
  <c r="E73" i="60"/>
  <c r="F74" i="58"/>
  <c r="E74" i="58"/>
  <c r="H74" i="58"/>
  <c r="K74" i="58"/>
  <c r="AT74" i="58"/>
  <c r="AU74" i="58"/>
  <c r="E74" i="60"/>
  <c r="F75" i="58"/>
  <c r="E75" i="58"/>
  <c r="K75" i="58"/>
  <c r="AT75" i="58"/>
  <c r="AU75" i="58"/>
  <c r="E75" i="60"/>
  <c r="F76" i="58"/>
  <c r="H76" i="58"/>
  <c r="E76" i="58"/>
  <c r="K76" i="58"/>
  <c r="AT76" i="58"/>
  <c r="AU76" i="58"/>
  <c r="E76" i="60"/>
  <c r="F77" i="58"/>
  <c r="E77" i="58"/>
  <c r="H77" i="58"/>
  <c r="K77" i="58"/>
  <c r="H77" i="60"/>
  <c r="AT77" i="58"/>
  <c r="AU77" i="58"/>
  <c r="E77" i="60"/>
  <c r="F78" i="58"/>
  <c r="E78" i="58"/>
  <c r="K78" i="58"/>
  <c r="AT78" i="58"/>
  <c r="AU78" i="58"/>
  <c r="E78" i="60"/>
  <c r="F79" i="58"/>
  <c r="E79" i="58"/>
  <c r="K79" i="58"/>
  <c r="AT79" i="58"/>
  <c r="AU79" i="58"/>
  <c r="E79" i="60"/>
  <c r="F80" i="58"/>
  <c r="E80" i="58"/>
  <c r="K80" i="58"/>
  <c r="AT80" i="58"/>
  <c r="AU80" i="58"/>
  <c r="E80" i="60"/>
  <c r="F81" i="58"/>
  <c r="E81" i="58"/>
  <c r="K81" i="58"/>
  <c r="AT81" i="58"/>
  <c r="AU81" i="58"/>
  <c r="E81" i="60"/>
  <c r="F82" i="58"/>
  <c r="E82" i="58"/>
  <c r="H82" i="58"/>
  <c r="G82" i="60"/>
  <c r="K82" i="59"/>
  <c r="K82" i="58"/>
  <c r="AT82" i="58"/>
  <c r="AU82" i="58"/>
  <c r="E82" i="60"/>
  <c r="H82" i="60"/>
  <c r="F82" i="60"/>
  <c r="F83" i="58"/>
  <c r="E83" i="58"/>
  <c r="K83" i="58"/>
  <c r="H83" i="60"/>
  <c r="AT83" i="58"/>
  <c r="AU83" i="58"/>
  <c r="E83" i="60"/>
  <c r="F84" i="58"/>
  <c r="E84" i="58"/>
  <c r="K84" i="58"/>
  <c r="AT84" i="58"/>
  <c r="AU84" i="58"/>
  <c r="F85" i="58"/>
  <c r="E85" i="58"/>
  <c r="H85" i="58"/>
  <c r="K85" i="58"/>
  <c r="AT85" i="58"/>
  <c r="AU85" i="58"/>
  <c r="E85" i="60"/>
  <c r="H85" i="60"/>
  <c r="F86" i="58"/>
  <c r="H86" i="58"/>
  <c r="E86" i="58"/>
  <c r="K86" i="58"/>
  <c r="AT86" i="58"/>
  <c r="AU86" i="58"/>
  <c r="E86" i="60"/>
  <c r="H86" i="60"/>
  <c r="F87" i="58"/>
  <c r="H87" i="58"/>
  <c r="E87" i="58"/>
  <c r="K87" i="58"/>
  <c r="AT87" i="58"/>
  <c r="AU87" i="58"/>
  <c r="E87" i="60"/>
  <c r="H87" i="60"/>
  <c r="F88" i="58"/>
  <c r="E88" i="58"/>
  <c r="K88" i="58"/>
  <c r="H88" i="60"/>
  <c r="F88" i="60"/>
  <c r="AT88" i="58"/>
  <c r="AU88" i="58"/>
  <c r="E88" i="60"/>
  <c r="F89" i="58"/>
  <c r="E89" i="58"/>
  <c r="K89" i="58"/>
  <c r="AT89" i="58"/>
  <c r="AU89" i="58"/>
  <c r="E89" i="60"/>
  <c r="F90" i="58"/>
  <c r="H90" i="58"/>
  <c r="E90" i="58"/>
  <c r="I90" i="58"/>
  <c r="AT90" i="58"/>
  <c r="K90" i="58"/>
  <c r="AU90" i="58"/>
  <c r="F91" i="58"/>
  <c r="H91" i="58"/>
  <c r="E91" i="58"/>
  <c r="K91" i="58"/>
  <c r="AT91" i="58"/>
  <c r="AU91" i="58"/>
  <c r="E91" i="60"/>
  <c r="F92" i="58"/>
  <c r="H92" i="58"/>
  <c r="E92" i="58"/>
  <c r="K92" i="58"/>
  <c r="M92" i="58"/>
  <c r="AT92" i="58"/>
  <c r="AU92" i="58"/>
  <c r="E92" i="60"/>
  <c r="F93" i="58"/>
  <c r="E93" i="58"/>
  <c r="K93" i="58"/>
  <c r="H93" i="60"/>
  <c r="F93" i="60"/>
  <c r="AT93" i="58"/>
  <c r="AU93" i="58"/>
  <c r="E93" i="60"/>
  <c r="F94" i="58"/>
  <c r="E94" i="58"/>
  <c r="K94" i="58"/>
  <c r="AT94" i="58"/>
  <c r="AU94" i="58"/>
  <c r="E94" i="60"/>
  <c r="F95" i="58"/>
  <c r="E95" i="58"/>
  <c r="K95" i="58"/>
  <c r="AT95" i="58"/>
  <c r="AU95" i="58"/>
  <c r="E95" i="60"/>
  <c r="F96" i="58"/>
  <c r="E96" i="58"/>
  <c r="K96" i="58"/>
  <c r="AT96" i="58"/>
  <c r="AU96" i="58"/>
  <c r="E96" i="60"/>
  <c r="H96" i="60"/>
  <c r="F96" i="60"/>
  <c r="F97" i="58"/>
  <c r="H97" i="58"/>
  <c r="E97" i="58"/>
  <c r="K97" i="58"/>
  <c r="AT97" i="58"/>
  <c r="AU97" i="58"/>
  <c r="E97" i="60"/>
  <c r="F98" i="58"/>
  <c r="H98" i="58"/>
  <c r="E98" i="58"/>
  <c r="K98" i="58"/>
  <c r="M98" i="58"/>
  <c r="AT98" i="58"/>
  <c r="AU98" i="58"/>
  <c r="E98" i="60"/>
  <c r="F99" i="58"/>
  <c r="E99" i="58"/>
  <c r="K99" i="58"/>
  <c r="H99" i="60"/>
  <c r="AT99" i="58"/>
  <c r="AU99" i="58"/>
  <c r="E99" i="60"/>
  <c r="F100" i="58"/>
  <c r="H100" i="58"/>
  <c r="E100" i="58"/>
  <c r="K100" i="58"/>
  <c r="AT100" i="58"/>
  <c r="AU100" i="58"/>
  <c r="E100" i="60"/>
  <c r="F101" i="58"/>
  <c r="H101" i="58"/>
  <c r="E101" i="58"/>
  <c r="K101" i="58"/>
  <c r="AT101" i="58"/>
  <c r="AU101" i="58"/>
  <c r="E101" i="60"/>
  <c r="H101" i="60"/>
  <c r="F101" i="60"/>
  <c r="F102" i="58"/>
  <c r="E102" i="58"/>
  <c r="H102" i="58"/>
  <c r="K102" i="58"/>
  <c r="AT102" i="58"/>
  <c r="AU102" i="58"/>
  <c r="E102" i="60"/>
  <c r="H102" i="60"/>
  <c r="F103" i="58"/>
  <c r="E103" i="58"/>
  <c r="K103" i="58"/>
  <c r="AT103" i="58"/>
  <c r="AU103" i="58"/>
  <c r="E103" i="60"/>
  <c r="F104" i="58"/>
  <c r="E104" i="58"/>
  <c r="K104" i="58"/>
  <c r="AT104" i="58"/>
  <c r="AU104" i="58"/>
  <c r="E104" i="60"/>
  <c r="H104" i="60"/>
  <c r="F105" i="58"/>
  <c r="E105" i="58"/>
  <c r="K105" i="58"/>
  <c r="AT105" i="58"/>
  <c r="AU105" i="58"/>
  <c r="E105" i="60"/>
  <c r="H105" i="60"/>
  <c r="F105" i="60"/>
  <c r="F106" i="58"/>
  <c r="H106" i="58"/>
  <c r="E106" i="58"/>
  <c r="K106" i="58"/>
  <c r="AT106" i="58"/>
  <c r="AU106" i="58"/>
  <c r="M106" i="58"/>
  <c r="E106" i="60"/>
  <c r="F107" i="58"/>
  <c r="E107" i="58"/>
  <c r="H107" i="58"/>
  <c r="K107" i="58"/>
  <c r="AT107" i="58"/>
  <c r="AU107" i="58"/>
  <c r="E107" i="60"/>
  <c r="H107" i="60"/>
  <c r="F108" i="58"/>
  <c r="E108" i="58"/>
  <c r="H108" i="58"/>
  <c r="K108" i="58"/>
  <c r="AT108" i="58"/>
  <c r="AU108" i="58"/>
  <c r="E108" i="60"/>
  <c r="H108" i="60"/>
  <c r="F109" i="58"/>
  <c r="H109" i="58"/>
  <c r="E109" i="58"/>
  <c r="K109" i="58"/>
  <c r="AT109" i="58"/>
  <c r="AU109" i="58"/>
  <c r="E109" i="60"/>
  <c r="F110" i="58"/>
  <c r="E110" i="58"/>
  <c r="K110" i="58"/>
  <c r="AT110" i="58"/>
  <c r="AU110" i="58"/>
  <c r="E110" i="60"/>
  <c r="F111" i="58"/>
  <c r="E111" i="58"/>
  <c r="K111" i="58"/>
  <c r="AT111" i="58"/>
  <c r="AU111" i="58"/>
  <c r="E111" i="60"/>
  <c r="F112" i="58"/>
  <c r="H112" i="58"/>
  <c r="E112" i="58"/>
  <c r="K112" i="58"/>
  <c r="AT112" i="58"/>
  <c r="AU112" i="58"/>
  <c r="E112" i="60"/>
  <c r="F113" i="58"/>
  <c r="H113" i="58"/>
  <c r="E113" i="58"/>
  <c r="K113" i="58"/>
  <c r="AT113" i="58"/>
  <c r="AU113" i="58"/>
  <c r="E113" i="60"/>
  <c r="H113" i="60"/>
  <c r="F114" i="58"/>
  <c r="E114" i="58"/>
  <c r="H114" i="58"/>
  <c r="K114" i="58"/>
  <c r="AT114" i="58"/>
  <c r="AU114" i="58"/>
  <c r="E114" i="60"/>
  <c r="H114" i="60"/>
  <c r="F114" i="60"/>
  <c r="F115" i="58"/>
  <c r="E115" i="58"/>
  <c r="K115" i="58"/>
  <c r="AT115" i="58"/>
  <c r="AU115" i="58"/>
  <c r="E115" i="60"/>
  <c r="F116" i="58"/>
  <c r="E116" i="58"/>
  <c r="K116" i="58"/>
  <c r="AT116" i="58"/>
  <c r="AU116" i="58"/>
  <c r="E116" i="60"/>
  <c r="H116" i="60"/>
  <c r="F116" i="60"/>
  <c r="F117" i="58"/>
  <c r="E117" i="58"/>
  <c r="H117" i="58"/>
  <c r="K117" i="58"/>
  <c r="AT117" i="58"/>
  <c r="AU117" i="58"/>
  <c r="E117" i="60"/>
  <c r="H117" i="60"/>
  <c r="F118" i="58"/>
  <c r="H118" i="58"/>
  <c r="E118" i="58"/>
  <c r="K118" i="58"/>
  <c r="AT118" i="58"/>
  <c r="AU118" i="58"/>
  <c r="E118" i="60"/>
  <c r="H118" i="60"/>
  <c r="G118" i="60"/>
  <c r="K118" i="59"/>
  <c r="F119" i="58"/>
  <c r="H119" i="58"/>
  <c r="E119" i="58"/>
  <c r="K119" i="58"/>
  <c r="AT119" i="58"/>
  <c r="AU119" i="58"/>
  <c r="E119" i="60"/>
  <c r="H119" i="60"/>
  <c r="F119" i="60"/>
  <c r="F120" i="58"/>
  <c r="E120" i="58"/>
  <c r="H120" i="58"/>
  <c r="K120" i="58"/>
  <c r="AT120" i="58"/>
  <c r="AU120" i="58"/>
  <c r="E120" i="60"/>
  <c r="F121" i="58"/>
  <c r="E121" i="58"/>
  <c r="K121" i="58"/>
  <c r="AT121" i="58"/>
  <c r="AU121" i="58"/>
  <c r="E121" i="60"/>
  <c r="F122" i="58"/>
  <c r="E122" i="58"/>
  <c r="K122" i="58"/>
  <c r="H122" i="60"/>
  <c r="F122" i="60"/>
  <c r="AT122" i="58"/>
  <c r="AU122" i="58"/>
  <c r="E122" i="60"/>
  <c r="F123" i="58"/>
  <c r="H123" i="58"/>
  <c r="E123" i="58"/>
  <c r="K123" i="58"/>
  <c r="AT123" i="58"/>
  <c r="AU123" i="58"/>
  <c r="E123" i="60"/>
  <c r="H123" i="60"/>
  <c r="F124" i="58"/>
  <c r="E124" i="58"/>
  <c r="K124" i="58"/>
  <c r="AT124" i="58"/>
  <c r="AU124" i="58"/>
  <c r="E124" i="60"/>
  <c r="F125" i="58"/>
  <c r="H125" i="58"/>
  <c r="E125" i="58"/>
  <c r="K125" i="58"/>
  <c r="AT125" i="58"/>
  <c r="AU125" i="58"/>
  <c r="E125" i="60"/>
  <c r="H125" i="60"/>
  <c r="F126" i="58"/>
  <c r="E126" i="58"/>
  <c r="K126" i="58"/>
  <c r="AT126" i="58"/>
  <c r="AU126" i="58"/>
  <c r="F127" i="58"/>
  <c r="E127" i="58"/>
  <c r="H127" i="58"/>
  <c r="K127" i="58"/>
  <c r="AT127" i="58"/>
  <c r="AU127" i="58"/>
  <c r="E127" i="60"/>
  <c r="H127" i="60"/>
  <c r="F127" i="60"/>
  <c r="F128" i="58"/>
  <c r="H128" i="58"/>
  <c r="M128" i="58"/>
  <c r="L128" i="59"/>
  <c r="E128" i="58"/>
  <c r="K128" i="58"/>
  <c r="AT128" i="58"/>
  <c r="AU128" i="58"/>
  <c r="F129" i="58"/>
  <c r="E129" i="58"/>
  <c r="K129" i="58"/>
  <c r="AT129" i="58"/>
  <c r="AU129" i="58"/>
  <c r="E129" i="60"/>
  <c r="F130" i="58"/>
  <c r="H130" i="58"/>
  <c r="M130" i="58"/>
  <c r="E130" i="58"/>
  <c r="K130" i="58"/>
  <c r="AT130" i="58"/>
  <c r="AU130" i="58"/>
  <c r="E130" i="60"/>
  <c r="H130" i="60"/>
  <c r="F130" i="60"/>
  <c r="F131" i="58"/>
  <c r="H131" i="58"/>
  <c r="E131" i="58"/>
  <c r="K131" i="58"/>
  <c r="AT131" i="58"/>
  <c r="AU131" i="58"/>
  <c r="M131" i="58"/>
  <c r="E131" i="60"/>
  <c r="F132" i="58"/>
  <c r="H132" i="58"/>
  <c r="E132" i="58"/>
  <c r="K132" i="58"/>
  <c r="AT132" i="58"/>
  <c r="AU132" i="58"/>
  <c r="E132" i="60"/>
  <c r="H132" i="60"/>
  <c r="F133" i="58"/>
  <c r="E133" i="58"/>
  <c r="H133" i="58"/>
  <c r="K133" i="58"/>
  <c r="AT133" i="58"/>
  <c r="AU133" i="58"/>
  <c r="E133" i="60"/>
  <c r="F134" i="58"/>
  <c r="E134" i="58"/>
  <c r="K134" i="58"/>
  <c r="AT134" i="58"/>
  <c r="AU134" i="58"/>
  <c r="E134" i="60"/>
  <c r="F135" i="58"/>
  <c r="H135" i="58"/>
  <c r="E135" i="58"/>
  <c r="K135" i="58"/>
  <c r="AT135" i="58"/>
  <c r="AU135" i="58"/>
  <c r="E135" i="60"/>
  <c r="H135" i="60"/>
  <c r="F135" i="60"/>
  <c r="F136" i="58"/>
  <c r="E136" i="58"/>
  <c r="K136" i="58"/>
  <c r="AT136" i="58"/>
  <c r="AU136" i="58"/>
  <c r="E136" i="60"/>
  <c r="H136" i="60"/>
  <c r="F136" i="60"/>
  <c r="F137" i="58"/>
  <c r="H137" i="58"/>
  <c r="E137" i="58"/>
  <c r="K137" i="58"/>
  <c r="AT137" i="58"/>
  <c r="AU137" i="58"/>
  <c r="M137" i="58"/>
  <c r="E137" i="60"/>
  <c r="F138" i="58"/>
  <c r="H138" i="58"/>
  <c r="E138" i="58"/>
  <c r="K138" i="58"/>
  <c r="AT138" i="58"/>
  <c r="AU138" i="58"/>
  <c r="F139" i="58"/>
  <c r="E139" i="58"/>
  <c r="H139" i="58"/>
  <c r="G139" i="60"/>
  <c r="K139" i="58"/>
  <c r="H139" i="60"/>
  <c r="F139" i="60"/>
  <c r="AT139" i="58"/>
  <c r="AU139" i="58"/>
  <c r="E139" i="60"/>
  <c r="F140" i="58"/>
  <c r="H140" i="58"/>
  <c r="E140" i="58"/>
  <c r="K140" i="58"/>
  <c r="AT140" i="58"/>
  <c r="AU140" i="58"/>
  <c r="E140" i="60"/>
  <c r="F141" i="58"/>
  <c r="E141" i="58"/>
  <c r="K141" i="58"/>
  <c r="AU141" i="58"/>
  <c r="E141" i="60"/>
  <c r="H141" i="60"/>
  <c r="F141" i="60"/>
  <c r="F142" i="58"/>
  <c r="H142" i="58"/>
  <c r="E142" i="58"/>
  <c r="K142" i="58"/>
  <c r="AU142" i="58"/>
  <c r="F143" i="58"/>
  <c r="H143" i="58"/>
  <c r="E143" i="58"/>
  <c r="K143" i="58"/>
  <c r="AT143" i="58"/>
  <c r="AU143" i="58"/>
  <c r="E143" i="60"/>
  <c r="F144" i="58"/>
  <c r="H144" i="58"/>
  <c r="E144" i="58"/>
  <c r="K144" i="58"/>
  <c r="AT144" i="58"/>
  <c r="AU144" i="58"/>
  <c r="F145" i="58"/>
  <c r="E145" i="58"/>
  <c r="K145" i="58"/>
  <c r="AT145" i="58"/>
  <c r="AU145" i="58"/>
  <c r="E145" i="60"/>
  <c r="H145" i="60"/>
  <c r="F146" i="58"/>
  <c r="E146" i="58"/>
  <c r="H146" i="58"/>
  <c r="K146" i="58"/>
  <c r="AT146" i="58"/>
  <c r="AU146" i="58"/>
  <c r="E146" i="60"/>
  <c r="H146" i="60"/>
  <c r="F146" i="60"/>
  <c r="F147" i="58"/>
  <c r="E147" i="58"/>
  <c r="K147" i="58"/>
  <c r="AT147" i="58"/>
  <c r="AU147" i="58"/>
  <c r="E147" i="60"/>
  <c r="F148" i="58"/>
  <c r="E148" i="58"/>
  <c r="K148" i="58"/>
  <c r="AT148" i="58"/>
  <c r="AU148" i="58"/>
  <c r="F149" i="58"/>
  <c r="E149" i="58"/>
  <c r="H149" i="58"/>
  <c r="K149" i="58"/>
  <c r="H149" i="60"/>
  <c r="F149" i="60"/>
  <c r="AT149" i="58"/>
  <c r="AU149" i="58"/>
  <c r="E149" i="60"/>
  <c r="F150" i="58"/>
  <c r="H150" i="58"/>
  <c r="E150" i="58"/>
  <c r="K150" i="58"/>
  <c r="AT150" i="58"/>
  <c r="AU150" i="58"/>
  <c r="E150" i="60"/>
  <c r="F151" i="58"/>
  <c r="E151" i="58"/>
  <c r="K151" i="58"/>
  <c r="AT151" i="58"/>
  <c r="AU151" i="58"/>
  <c r="E151" i="60"/>
  <c r="H151" i="60"/>
  <c r="F152" i="58"/>
  <c r="E152" i="58"/>
  <c r="K152" i="58"/>
  <c r="AT152" i="58"/>
  <c r="AU152" i="58"/>
  <c r="E152" i="60"/>
  <c r="H152" i="60"/>
  <c r="F152" i="60"/>
  <c r="F153" i="58"/>
  <c r="H153" i="58"/>
  <c r="E153" i="58"/>
  <c r="K153" i="58"/>
  <c r="AT153" i="58"/>
  <c r="AU153" i="58"/>
  <c r="E153" i="60"/>
  <c r="F154" i="58"/>
  <c r="H154" i="58"/>
  <c r="E154" i="58"/>
  <c r="K154" i="58"/>
  <c r="H154" i="60"/>
  <c r="F154" i="60"/>
  <c r="AT154" i="58"/>
  <c r="AU154" i="58"/>
  <c r="E154" i="60"/>
  <c r="F155" i="58"/>
  <c r="E155" i="58"/>
  <c r="K155" i="58"/>
  <c r="AT155" i="58"/>
  <c r="AU155" i="58"/>
  <c r="E155" i="60"/>
  <c r="H155" i="60"/>
  <c r="F155" i="60"/>
  <c r="F156" i="58"/>
  <c r="E156" i="58"/>
  <c r="H156" i="58"/>
  <c r="K156" i="58"/>
  <c r="AT156" i="58"/>
  <c r="AU156" i="58"/>
  <c r="E156" i="60"/>
  <c r="F157" i="58"/>
  <c r="H157" i="58"/>
  <c r="E157" i="58"/>
  <c r="K157" i="58"/>
  <c r="H157" i="60"/>
  <c r="F157" i="60"/>
  <c r="AT157" i="58"/>
  <c r="AU157" i="58"/>
  <c r="E157" i="60"/>
  <c r="F158" i="58"/>
  <c r="E158" i="58"/>
  <c r="K158" i="58"/>
  <c r="AT158" i="58"/>
  <c r="AU158" i="58"/>
  <c r="E158" i="60"/>
  <c r="H158" i="60"/>
  <c r="F159" i="58"/>
  <c r="E159" i="58"/>
  <c r="H159" i="58"/>
  <c r="K159" i="58"/>
  <c r="H159" i="60"/>
  <c r="F159" i="60"/>
  <c r="AT159" i="58"/>
  <c r="AU159" i="58"/>
  <c r="E159" i="60"/>
  <c r="F160" i="58"/>
  <c r="E160" i="58"/>
  <c r="K160" i="58"/>
  <c r="AT160" i="58"/>
  <c r="AU160" i="58"/>
  <c r="E160" i="60"/>
  <c r="F161" i="58"/>
  <c r="H161" i="58"/>
  <c r="M161" i="58"/>
  <c r="E161" i="58"/>
  <c r="K161" i="58"/>
  <c r="AT161" i="58"/>
  <c r="AU161" i="58"/>
  <c r="E161" i="60"/>
  <c r="H161" i="60"/>
  <c r="F161" i="60"/>
  <c r="F162" i="58"/>
  <c r="E162" i="58"/>
  <c r="H162" i="58"/>
  <c r="K162" i="58"/>
  <c r="AT162" i="58"/>
  <c r="AU162" i="58"/>
  <c r="E162" i="60"/>
  <c r="H162" i="60"/>
  <c r="F162" i="60"/>
  <c r="F163" i="58"/>
  <c r="H163" i="58"/>
  <c r="E163" i="58"/>
  <c r="K163" i="58"/>
  <c r="AT163" i="58"/>
  <c r="AU163" i="58"/>
  <c r="E163" i="60"/>
  <c r="F164" i="58"/>
  <c r="E164" i="58"/>
  <c r="H164" i="58"/>
  <c r="K164" i="58"/>
  <c r="AT164" i="58"/>
  <c r="AU164" i="58"/>
  <c r="E164" i="60"/>
  <c r="H164" i="60"/>
  <c r="F164" i="60"/>
  <c r="F165" i="58"/>
  <c r="E165" i="58"/>
  <c r="H165" i="58"/>
  <c r="K165" i="58"/>
  <c r="AT165" i="58"/>
  <c r="AU165" i="58"/>
  <c r="E165" i="60"/>
  <c r="H165" i="60"/>
  <c r="F166" i="58"/>
  <c r="H166" i="58"/>
  <c r="E166" i="58"/>
  <c r="K166" i="58"/>
  <c r="AT166" i="58"/>
  <c r="AU166" i="58"/>
  <c r="E166" i="60"/>
  <c r="H166" i="60"/>
  <c r="F166" i="60"/>
  <c r="F167" i="58"/>
  <c r="E167" i="58"/>
  <c r="K167" i="58"/>
  <c r="AT167" i="58"/>
  <c r="AU167" i="58"/>
  <c r="E167" i="60"/>
  <c r="F168" i="58"/>
  <c r="E168" i="58"/>
  <c r="H168" i="58"/>
  <c r="K168" i="58"/>
  <c r="AT168" i="58"/>
  <c r="AU168" i="58"/>
  <c r="E168" i="60"/>
  <c r="F169" i="58"/>
  <c r="H169" i="58"/>
  <c r="E169" i="58"/>
  <c r="K169" i="58"/>
  <c r="AT169" i="58"/>
  <c r="AU169" i="58"/>
  <c r="E169" i="60"/>
  <c r="H169" i="60"/>
  <c r="F169" i="60"/>
  <c r="F170" i="58"/>
  <c r="H170" i="58"/>
  <c r="E170" i="58"/>
  <c r="K170" i="58"/>
  <c r="AT170" i="58"/>
  <c r="AU170" i="58"/>
  <c r="E170" i="60"/>
  <c r="H170" i="60"/>
  <c r="F171" i="58"/>
  <c r="H171" i="58"/>
  <c r="G171" i="60"/>
  <c r="E171" i="58"/>
  <c r="K171" i="58"/>
  <c r="H171" i="60"/>
  <c r="F171" i="60"/>
  <c r="AT171" i="58"/>
  <c r="AU171" i="58"/>
  <c r="E171" i="60"/>
  <c r="F172" i="58"/>
  <c r="H172" i="58"/>
  <c r="M172" i="58"/>
  <c r="E172" i="58"/>
  <c r="K172" i="58"/>
  <c r="AT172" i="58"/>
  <c r="AU172" i="58"/>
  <c r="E172" i="60"/>
  <c r="H172" i="60"/>
  <c r="F172" i="60"/>
  <c r="F173" i="58"/>
  <c r="E173" i="58"/>
  <c r="K173" i="58"/>
  <c r="AT173" i="58"/>
  <c r="AU173" i="58"/>
  <c r="E173" i="60"/>
  <c r="H173" i="60"/>
  <c r="F174" i="58"/>
  <c r="E174" i="58"/>
  <c r="K174" i="58"/>
  <c r="AT174" i="58"/>
  <c r="AU174" i="58"/>
  <c r="E174" i="60"/>
  <c r="F175" i="58"/>
  <c r="H175" i="58"/>
  <c r="E175" i="58"/>
  <c r="K175" i="58"/>
  <c r="AT175" i="58"/>
  <c r="AU175" i="58"/>
  <c r="E175" i="60"/>
  <c r="F176" i="58"/>
  <c r="H176" i="58"/>
  <c r="E176" i="58"/>
  <c r="K176" i="58"/>
  <c r="AT176" i="58"/>
  <c r="AU176" i="58"/>
  <c r="E176" i="60"/>
  <c r="F177" i="58"/>
  <c r="E177" i="58"/>
  <c r="H177" i="58"/>
  <c r="K177" i="58"/>
  <c r="AT177" i="58"/>
  <c r="AU177" i="58"/>
  <c r="E177" i="60"/>
  <c r="H177" i="60"/>
  <c r="F178" i="58"/>
  <c r="H178" i="58"/>
  <c r="E178" i="58"/>
  <c r="K178" i="58"/>
  <c r="AT178" i="58"/>
  <c r="AU178" i="58"/>
  <c r="E178" i="60"/>
  <c r="H178" i="60"/>
  <c r="F179" i="58"/>
  <c r="H179" i="58"/>
  <c r="M179" i="58"/>
  <c r="E179" i="58"/>
  <c r="K179" i="58"/>
  <c r="AT179" i="58"/>
  <c r="AU179" i="58"/>
  <c r="E179" i="60"/>
  <c r="H179" i="60"/>
  <c r="F180" i="58"/>
  <c r="H180" i="58"/>
  <c r="E180" i="58"/>
  <c r="K180" i="58"/>
  <c r="AT180" i="58"/>
  <c r="AU180" i="58"/>
  <c r="E180" i="60"/>
  <c r="H180" i="60"/>
  <c r="F180" i="60"/>
  <c r="F181" i="58"/>
  <c r="E181" i="58"/>
  <c r="K181" i="58"/>
  <c r="AT181" i="58"/>
  <c r="AU181" i="58"/>
  <c r="E181" i="60"/>
  <c r="H181" i="60"/>
  <c r="F181" i="60"/>
  <c r="F182" i="58"/>
  <c r="E182" i="58"/>
  <c r="K182" i="58"/>
  <c r="AT182" i="58"/>
  <c r="AU182" i="58"/>
  <c r="E182" i="60"/>
  <c r="F183" i="58"/>
  <c r="E183" i="58"/>
  <c r="H183" i="58"/>
  <c r="K183" i="58"/>
  <c r="AT183" i="58"/>
  <c r="AU183" i="58"/>
  <c r="E183" i="60"/>
  <c r="H183" i="60"/>
  <c r="F183" i="60"/>
  <c r="F184" i="58"/>
  <c r="H184" i="58"/>
  <c r="E184" i="58"/>
  <c r="K184" i="58"/>
  <c r="AT184" i="58"/>
  <c r="AU184" i="58"/>
  <c r="E184" i="60"/>
  <c r="F185" i="58"/>
  <c r="H185" i="58"/>
  <c r="M185" i="58"/>
  <c r="L185" i="59"/>
  <c r="E185" i="58"/>
  <c r="K185" i="58"/>
  <c r="AT185" i="58"/>
  <c r="AU185" i="58"/>
  <c r="F186" i="58"/>
  <c r="H186" i="58"/>
  <c r="M186" i="58"/>
  <c r="L186" i="59"/>
  <c r="E186" i="58"/>
  <c r="K186" i="58"/>
  <c r="AT186" i="58"/>
  <c r="AU186" i="58"/>
  <c r="F187" i="58"/>
  <c r="H187" i="58"/>
  <c r="E187" i="58"/>
  <c r="K187" i="58"/>
  <c r="AT187" i="58"/>
  <c r="AU187" i="58"/>
  <c r="E187" i="60"/>
  <c r="F188" i="58"/>
  <c r="E188" i="58"/>
  <c r="H188" i="58"/>
  <c r="K188" i="58"/>
  <c r="AT188" i="58"/>
  <c r="AU188" i="58"/>
  <c r="E188" i="60"/>
  <c r="F189" i="58"/>
  <c r="H189" i="58"/>
  <c r="E189" i="58"/>
  <c r="K189" i="58"/>
  <c r="AT189" i="58"/>
  <c r="AU189" i="58"/>
  <c r="E189" i="60"/>
  <c r="F190" i="58"/>
  <c r="H190" i="58"/>
  <c r="E190" i="58"/>
  <c r="K190" i="58"/>
  <c r="AT190" i="58"/>
  <c r="AU190" i="58"/>
  <c r="E190" i="60"/>
  <c r="F191" i="58"/>
  <c r="H191" i="58"/>
  <c r="E191" i="58"/>
  <c r="J191" i="58"/>
  <c r="AU191" i="58"/>
  <c r="K191" i="58"/>
  <c r="AT191" i="58"/>
  <c r="F3" i="60"/>
  <c r="F4" i="60"/>
  <c r="F6" i="60"/>
  <c r="F8" i="60"/>
  <c r="F9" i="60"/>
  <c r="F11" i="60"/>
  <c r="F13" i="60"/>
  <c r="F16" i="60"/>
  <c r="F18" i="60"/>
  <c r="F23" i="60"/>
  <c r="F28" i="60"/>
  <c r="F31" i="60"/>
  <c r="F34" i="60"/>
  <c r="E35" i="60"/>
  <c r="H35" i="60"/>
  <c r="F35" i="60"/>
  <c r="F36" i="60"/>
  <c r="F39" i="60"/>
  <c r="E46" i="60"/>
  <c r="F52" i="60"/>
  <c r="F54" i="60"/>
  <c r="F56" i="60"/>
  <c r="F58" i="60"/>
  <c r="F60" i="60"/>
  <c r="F77" i="60"/>
  <c r="F83" i="60"/>
  <c r="E84" i="60"/>
  <c r="H84" i="60"/>
  <c r="F85" i="60"/>
  <c r="F87" i="60"/>
  <c r="F99" i="60"/>
  <c r="F102" i="60"/>
  <c r="F104" i="60"/>
  <c r="F107" i="60"/>
  <c r="F108" i="60"/>
  <c r="F113" i="60"/>
  <c r="F117" i="60"/>
  <c r="F118" i="60"/>
  <c r="F123" i="60"/>
  <c r="F125" i="60"/>
  <c r="E126" i="60"/>
  <c r="H126" i="60"/>
  <c r="E128" i="60"/>
  <c r="H128" i="60"/>
  <c r="F132" i="60"/>
  <c r="E138" i="60"/>
  <c r="H138" i="60"/>
  <c r="E142" i="60"/>
  <c r="E144" i="60"/>
  <c r="F145" i="60"/>
  <c r="E148" i="60"/>
  <c r="H148" i="60"/>
  <c r="F151" i="60"/>
  <c r="F158" i="60"/>
  <c r="F165" i="60"/>
  <c r="F170" i="60"/>
  <c r="F173" i="60"/>
  <c r="F177" i="60"/>
  <c r="F178" i="60"/>
  <c r="F179" i="60"/>
  <c r="E185" i="60"/>
  <c r="E186" i="60"/>
  <c r="H186" i="60"/>
  <c r="F186" i="60"/>
  <c r="J5" i="62"/>
  <c r="I5" i="62"/>
  <c r="C4" i="62"/>
  <c r="M195" i="58"/>
  <c r="D5" i="55"/>
  <c r="AY3" i="58"/>
  <c r="AY4" i="58"/>
  <c r="AY5" i="58"/>
  <c r="AY193" i="58"/>
  <c r="AY6" i="58"/>
  <c r="AY7" i="58"/>
  <c r="AY8" i="58"/>
  <c r="AY9" i="58"/>
  <c r="AY10" i="58"/>
  <c r="AY11" i="58"/>
  <c r="AY12" i="58"/>
  <c r="AY13" i="58"/>
  <c r="AY14" i="58"/>
  <c r="AY15" i="58"/>
  <c r="AY16" i="58"/>
  <c r="AY17" i="58"/>
  <c r="AY18" i="58"/>
  <c r="AY19" i="58"/>
  <c r="AY20" i="58"/>
  <c r="AY21" i="58"/>
  <c r="AY22" i="58"/>
  <c r="AY23" i="58"/>
  <c r="AY24" i="58"/>
  <c r="AY25" i="58"/>
  <c r="AY26" i="58"/>
  <c r="AY27" i="58"/>
  <c r="AY28" i="58"/>
  <c r="AY29" i="58"/>
  <c r="AY30" i="58"/>
  <c r="AY31" i="58"/>
  <c r="AY32" i="58"/>
  <c r="AY33" i="58"/>
  <c r="AY34" i="58"/>
  <c r="AY35" i="58"/>
  <c r="AY36" i="58"/>
  <c r="AY37" i="58"/>
  <c r="AY38" i="58"/>
  <c r="AY39" i="58"/>
  <c r="AY40" i="58"/>
  <c r="AY41" i="58"/>
  <c r="AY42" i="58"/>
  <c r="AY43" i="58"/>
  <c r="AY44" i="58"/>
  <c r="AY45" i="58"/>
  <c r="AY46" i="58"/>
  <c r="AY47" i="58"/>
  <c r="AY48" i="58"/>
  <c r="AY49" i="58"/>
  <c r="AY50" i="58"/>
  <c r="AY51" i="58"/>
  <c r="AY52" i="58"/>
  <c r="AY53" i="58"/>
  <c r="AY54" i="58"/>
  <c r="AY55" i="58"/>
  <c r="AY56" i="58"/>
  <c r="AY57" i="58"/>
  <c r="AY58" i="58"/>
  <c r="AY59" i="58"/>
  <c r="AY60" i="58"/>
  <c r="AY61" i="58"/>
  <c r="AY62" i="58"/>
  <c r="AY63" i="58"/>
  <c r="AY64" i="58"/>
  <c r="AY65" i="58"/>
  <c r="AY66" i="58"/>
  <c r="AY67" i="58"/>
  <c r="AY68" i="58"/>
  <c r="AY69" i="58"/>
  <c r="AY70" i="58"/>
  <c r="AY71" i="58"/>
  <c r="AY72" i="58"/>
  <c r="AY73" i="58"/>
  <c r="AY74" i="58"/>
  <c r="AY75" i="58"/>
  <c r="AY76" i="58"/>
  <c r="AY77" i="58"/>
  <c r="AY78" i="58"/>
  <c r="AY79" i="58"/>
  <c r="AY80" i="58"/>
  <c r="AY81" i="58"/>
  <c r="AY82" i="58"/>
  <c r="AY83" i="58"/>
  <c r="AY84" i="58"/>
  <c r="AY85" i="58"/>
  <c r="AY86" i="58"/>
  <c r="AY87" i="58"/>
  <c r="AY88" i="58"/>
  <c r="AY89" i="58"/>
  <c r="AY90" i="58"/>
  <c r="AY91" i="58"/>
  <c r="AY92" i="58"/>
  <c r="AY93" i="58"/>
  <c r="AY94" i="58"/>
  <c r="AY95" i="58"/>
  <c r="AY96" i="58"/>
  <c r="AY97" i="58"/>
  <c r="AY98" i="58"/>
  <c r="AY99" i="58"/>
  <c r="AY100" i="58"/>
  <c r="AY101" i="58"/>
  <c r="AY102" i="58"/>
  <c r="AY103" i="58"/>
  <c r="AY104" i="58"/>
  <c r="AY105" i="58"/>
  <c r="AY106" i="58"/>
  <c r="AY107" i="58"/>
  <c r="AY108" i="58"/>
  <c r="AY109" i="58"/>
  <c r="AY110" i="58"/>
  <c r="AY111" i="58"/>
  <c r="AY112" i="58"/>
  <c r="AY113" i="58"/>
  <c r="AY114" i="58"/>
  <c r="AY115" i="58"/>
  <c r="AY116" i="58"/>
  <c r="AY117" i="58"/>
  <c r="AY118" i="58"/>
  <c r="AY119" i="58"/>
  <c r="AY120" i="58"/>
  <c r="AY121" i="58"/>
  <c r="AY122" i="58"/>
  <c r="AY123" i="58"/>
  <c r="AY124" i="58"/>
  <c r="AY125" i="58"/>
  <c r="AY126" i="58"/>
  <c r="AY127" i="58"/>
  <c r="AY129" i="58"/>
  <c r="AY130" i="58"/>
  <c r="AY131" i="58"/>
  <c r="AY132" i="58"/>
  <c r="AY133" i="58"/>
  <c r="AY134" i="58"/>
  <c r="AY135" i="58"/>
  <c r="AY136" i="58"/>
  <c r="AY137" i="58"/>
  <c r="AY138" i="58"/>
  <c r="AY139" i="58"/>
  <c r="AY140" i="58"/>
  <c r="AY141" i="58"/>
  <c r="AY142" i="58"/>
  <c r="AY143" i="58"/>
  <c r="AY144" i="58"/>
  <c r="AY145" i="58"/>
  <c r="AY146" i="58"/>
  <c r="AY147" i="58"/>
  <c r="AY148" i="58"/>
  <c r="AY149" i="58"/>
  <c r="AY150" i="58"/>
  <c r="AY151" i="58"/>
  <c r="AY152" i="58"/>
  <c r="AY153" i="58"/>
  <c r="AY154" i="58"/>
  <c r="AY155" i="58"/>
  <c r="AY156" i="58"/>
  <c r="AY157" i="58"/>
  <c r="AY158" i="58"/>
  <c r="AY159" i="58"/>
  <c r="AY160" i="58"/>
  <c r="AY161" i="58"/>
  <c r="AY162" i="58"/>
  <c r="AY163" i="58"/>
  <c r="AY164" i="58"/>
  <c r="AY165" i="58"/>
  <c r="AY166" i="58"/>
  <c r="AY167" i="58"/>
  <c r="AY168" i="58"/>
  <c r="AY169" i="58"/>
  <c r="AY170" i="58"/>
  <c r="AY171" i="58"/>
  <c r="AY172" i="58"/>
  <c r="AY173" i="58"/>
  <c r="AY174" i="58"/>
  <c r="AY175" i="58"/>
  <c r="AY176" i="58"/>
  <c r="AY177" i="58"/>
  <c r="AY178" i="58"/>
  <c r="AY179" i="58"/>
  <c r="AY180" i="58"/>
  <c r="AY181" i="58"/>
  <c r="AY182" i="58"/>
  <c r="AY183" i="58"/>
  <c r="AY184" i="58"/>
  <c r="AY185" i="58"/>
  <c r="AY186" i="58"/>
  <c r="AY187" i="58"/>
  <c r="AY188" i="58"/>
  <c r="AY189" i="58"/>
  <c r="AY190" i="58"/>
  <c r="AY191" i="58"/>
  <c r="I5" i="54"/>
  <c r="J5" i="54"/>
  <c r="AG197" i="58"/>
  <c r="AG219" i="58"/>
  <c r="AH197" i="58"/>
  <c r="AH219" i="58"/>
  <c r="AI197" i="58"/>
  <c r="AI219" i="58"/>
  <c r="AJ197" i="58"/>
  <c r="AJ219" i="58"/>
  <c r="AK197" i="58"/>
  <c r="AK219" i="58"/>
  <c r="AL197" i="58"/>
  <c r="AL219" i="58"/>
  <c r="AM197" i="58"/>
  <c r="AM219" i="58"/>
  <c r="AN197" i="58"/>
  <c r="AN219" i="58"/>
  <c r="AO197" i="58"/>
  <c r="AO219" i="58"/>
  <c r="AP197" i="58"/>
  <c r="AP219" i="58"/>
  <c r="Z197" i="58"/>
  <c r="Q22" i="56"/>
  <c r="AA197" i="58"/>
  <c r="AA219" i="58"/>
  <c r="AB197" i="58"/>
  <c r="AB219" i="58"/>
  <c r="AC197" i="58"/>
  <c r="T22" i="56"/>
  <c r="AD197" i="58"/>
  <c r="AD219" i="58"/>
  <c r="AE197" i="58"/>
  <c r="AE219" i="58"/>
  <c r="AF197" i="58"/>
  <c r="AF219" i="58"/>
  <c r="R197" i="58"/>
  <c r="R219" i="58"/>
  <c r="S197" i="58"/>
  <c r="S219" i="58"/>
  <c r="T197" i="58"/>
  <c r="T219" i="58"/>
  <c r="U197" i="58"/>
  <c r="U219" i="58"/>
  <c r="V197" i="58"/>
  <c r="V219" i="58"/>
  <c r="W197" i="58"/>
  <c r="W219" i="58"/>
  <c r="X197" i="58"/>
  <c r="X219" i="58"/>
  <c r="Y197" i="58"/>
  <c r="Y219" i="58"/>
  <c r="Q197" i="58"/>
  <c r="Q219" i="58"/>
  <c r="P197" i="58"/>
  <c r="P219" i="58"/>
  <c r="O197" i="58"/>
  <c r="O219" i="58"/>
  <c r="N197" i="58"/>
  <c r="E22" i="56"/>
  <c r="M197" i="58"/>
  <c r="M219" i="58"/>
  <c r="G220" i="58"/>
  <c r="G219" i="58"/>
  <c r="G215" i="58"/>
  <c r="M215" i="58"/>
  <c r="N215" i="58"/>
  <c r="O215" i="58"/>
  <c r="P215" i="58"/>
  <c r="Q215" i="58"/>
  <c r="R215" i="58"/>
  <c r="S215" i="58"/>
  <c r="T215" i="58"/>
  <c r="U215" i="58"/>
  <c r="V215" i="58"/>
  <c r="W215" i="58"/>
  <c r="X215" i="58"/>
  <c r="Y215" i="58"/>
  <c r="Z215" i="58"/>
  <c r="AA215" i="58"/>
  <c r="AB215" i="58"/>
  <c r="AC215" i="58"/>
  <c r="AD215" i="58"/>
  <c r="AE215" i="58"/>
  <c r="AF215" i="58"/>
  <c r="AG215" i="58"/>
  <c r="AH215" i="58"/>
  <c r="AI215" i="58"/>
  <c r="AJ215" i="58"/>
  <c r="AK215" i="58"/>
  <c r="AL215" i="58"/>
  <c r="AM215" i="58"/>
  <c r="AN215" i="58"/>
  <c r="AO215" i="58"/>
  <c r="AP215" i="58"/>
  <c r="M218" i="58"/>
  <c r="M221" i="58"/>
  <c r="N218" i="58"/>
  <c r="M220" i="58"/>
  <c r="N220" i="58"/>
  <c r="O220" i="58"/>
  <c r="P220" i="58"/>
  <c r="Q220" i="58"/>
  <c r="R220" i="58"/>
  <c r="S220" i="58"/>
  <c r="T220" i="58"/>
  <c r="U220" i="58"/>
  <c r="V220" i="58"/>
  <c r="W220" i="58"/>
  <c r="X220" i="58"/>
  <c r="Y220" i="58"/>
  <c r="Z220" i="58"/>
  <c r="AA220" i="58"/>
  <c r="AB220" i="58"/>
  <c r="AC220" i="58"/>
  <c r="AD220" i="58"/>
  <c r="AE220" i="58"/>
  <c r="AF220" i="58"/>
  <c r="AG220" i="58"/>
  <c r="AH220" i="58"/>
  <c r="AI220" i="58"/>
  <c r="AJ220" i="58"/>
  <c r="AK220" i="58"/>
  <c r="AL220" i="58"/>
  <c r="AM220" i="58"/>
  <c r="AN220" i="58"/>
  <c r="AO220" i="58"/>
  <c r="AP220" i="58"/>
  <c r="D1" i="55"/>
  <c r="B1" i="55"/>
  <c r="D12" i="55"/>
  <c r="AR197" i="58"/>
  <c r="O4" i="54"/>
  <c r="O9" i="54"/>
  <c r="R7" i="54"/>
  <c r="R8" i="54"/>
  <c r="Q7" i="54"/>
  <c r="Q8" i="54"/>
  <c r="R4" i="54"/>
  <c r="R3" i="54"/>
  <c r="BB3" i="58"/>
  <c r="BA3" i="58"/>
  <c r="BB132" i="58"/>
  <c r="BA132" i="58"/>
  <c r="BB133" i="58"/>
  <c r="BA133" i="58"/>
  <c r="BB134" i="58"/>
  <c r="BA134" i="58"/>
  <c r="BB135" i="58"/>
  <c r="BA135" i="58"/>
  <c r="BB136" i="58"/>
  <c r="BA136" i="58"/>
  <c r="BB137" i="58"/>
  <c r="BA137" i="58"/>
  <c r="BB138" i="58"/>
  <c r="BA138" i="58"/>
  <c r="BB139" i="58"/>
  <c r="BA139" i="58"/>
  <c r="BB140" i="58"/>
  <c r="BA140" i="58"/>
  <c r="BB141" i="58"/>
  <c r="BA141" i="58"/>
  <c r="BB142" i="58"/>
  <c r="BA142" i="58"/>
  <c r="BB143" i="58"/>
  <c r="BA143" i="58"/>
  <c r="BB144" i="58"/>
  <c r="BA144" i="58"/>
  <c r="BB145" i="58"/>
  <c r="BA145" i="58"/>
  <c r="BB146" i="58"/>
  <c r="BA146" i="58"/>
  <c r="BB147" i="58"/>
  <c r="BA147" i="58"/>
  <c r="BB148" i="58"/>
  <c r="BA148" i="58"/>
  <c r="BB149" i="58"/>
  <c r="BA149" i="58"/>
  <c r="BB150" i="58"/>
  <c r="BA150" i="58"/>
  <c r="BB151" i="58"/>
  <c r="BA151" i="58"/>
  <c r="BB152" i="58"/>
  <c r="BA152" i="58"/>
  <c r="BB153" i="58"/>
  <c r="BA153" i="58"/>
  <c r="BB154" i="58"/>
  <c r="BA154" i="58"/>
  <c r="BB155" i="58"/>
  <c r="BA155" i="58"/>
  <c r="BB156" i="58"/>
  <c r="BA156" i="58"/>
  <c r="BB157" i="58"/>
  <c r="BA157" i="58"/>
  <c r="BB158" i="58"/>
  <c r="BA158" i="58"/>
  <c r="BB159" i="58"/>
  <c r="BA159" i="58"/>
  <c r="BB160" i="58"/>
  <c r="BA160" i="58"/>
  <c r="BB161" i="58"/>
  <c r="BA161" i="58"/>
  <c r="BB162" i="58"/>
  <c r="BA162" i="58"/>
  <c r="BB163" i="58"/>
  <c r="BA163" i="58"/>
  <c r="BB164" i="58"/>
  <c r="BA164" i="58"/>
  <c r="BB165" i="58"/>
  <c r="BA165" i="58"/>
  <c r="BB166" i="58"/>
  <c r="BA166" i="58"/>
  <c r="BB167" i="58"/>
  <c r="BA167" i="58"/>
  <c r="BB168" i="58"/>
  <c r="BA168" i="58"/>
  <c r="BB169" i="58"/>
  <c r="BA169" i="58"/>
  <c r="BB170" i="58"/>
  <c r="BA170" i="58"/>
  <c r="BB171" i="58"/>
  <c r="BA171" i="58"/>
  <c r="BB172" i="58"/>
  <c r="BA172" i="58"/>
  <c r="BB173" i="58"/>
  <c r="BA173" i="58"/>
  <c r="BB174" i="58"/>
  <c r="BA174" i="58"/>
  <c r="BB175" i="58"/>
  <c r="BA175" i="58"/>
  <c r="BB176" i="58"/>
  <c r="BA176" i="58"/>
  <c r="BB177" i="58"/>
  <c r="BA177" i="58"/>
  <c r="BB178" i="58"/>
  <c r="BA178" i="58"/>
  <c r="BB179" i="58"/>
  <c r="BA179" i="58"/>
  <c r="BB180" i="58"/>
  <c r="BA180" i="58"/>
  <c r="BB181" i="58"/>
  <c r="BA181" i="58"/>
  <c r="BB182" i="58"/>
  <c r="BA182" i="58"/>
  <c r="BB183" i="58"/>
  <c r="BA183" i="58"/>
  <c r="BB184" i="58"/>
  <c r="BA184" i="58"/>
  <c r="BB185" i="58"/>
  <c r="BA185" i="58"/>
  <c r="BB186" i="58"/>
  <c r="BA186" i="58"/>
  <c r="BB187" i="58"/>
  <c r="BA187" i="58"/>
  <c r="BB188" i="58"/>
  <c r="BA188" i="58"/>
  <c r="BB189" i="58"/>
  <c r="BA189" i="58"/>
  <c r="BB190" i="58"/>
  <c r="BA190" i="58"/>
  <c r="BB191" i="58"/>
  <c r="BA191" i="58"/>
  <c r="BB4" i="58"/>
  <c r="BA4" i="58"/>
  <c r="BB5" i="58"/>
  <c r="BA5" i="58"/>
  <c r="BB6" i="58"/>
  <c r="BA6" i="58"/>
  <c r="BB7" i="58"/>
  <c r="BA7" i="58"/>
  <c r="BB8" i="58"/>
  <c r="BA8" i="58"/>
  <c r="BB9" i="58"/>
  <c r="BA9" i="58"/>
  <c r="BB10" i="58"/>
  <c r="BA10" i="58"/>
  <c r="BB11" i="58"/>
  <c r="BA11" i="58"/>
  <c r="BB12" i="58"/>
  <c r="BA12" i="58"/>
  <c r="BB13" i="58"/>
  <c r="BA13" i="58"/>
  <c r="BB14" i="58"/>
  <c r="BA14" i="58"/>
  <c r="BB15" i="58"/>
  <c r="BA15" i="58"/>
  <c r="BB16" i="58"/>
  <c r="BA16" i="58"/>
  <c r="BB17" i="58"/>
  <c r="BA17" i="58"/>
  <c r="BB18" i="58"/>
  <c r="BA18" i="58"/>
  <c r="BB19" i="58"/>
  <c r="BA19" i="58"/>
  <c r="BB20" i="58"/>
  <c r="BA20" i="58"/>
  <c r="BB21" i="58"/>
  <c r="BA21" i="58"/>
  <c r="BB22" i="58"/>
  <c r="BA22" i="58"/>
  <c r="BB23" i="58"/>
  <c r="BA23" i="58"/>
  <c r="BB24" i="58"/>
  <c r="BA24" i="58"/>
  <c r="BB25" i="58"/>
  <c r="BA25" i="58"/>
  <c r="BB26" i="58"/>
  <c r="BA26" i="58"/>
  <c r="BB27" i="58"/>
  <c r="BA27" i="58"/>
  <c r="BB28" i="58"/>
  <c r="BA28" i="58"/>
  <c r="BB29" i="58"/>
  <c r="BA29" i="58"/>
  <c r="BB30" i="58"/>
  <c r="BA30" i="58"/>
  <c r="BB31" i="58"/>
  <c r="BA31" i="58"/>
  <c r="BB32" i="58"/>
  <c r="BA32" i="58"/>
  <c r="BB33" i="58"/>
  <c r="BA33" i="58"/>
  <c r="BB34" i="58"/>
  <c r="BA34" i="58"/>
  <c r="BB35" i="58"/>
  <c r="BA35" i="58"/>
  <c r="BB36" i="58"/>
  <c r="BA36" i="58"/>
  <c r="BB37" i="58"/>
  <c r="BA37" i="58"/>
  <c r="BB38" i="58"/>
  <c r="BA38" i="58"/>
  <c r="BB39" i="58"/>
  <c r="BA39" i="58"/>
  <c r="BB40" i="58"/>
  <c r="BA40" i="58"/>
  <c r="BB41" i="58"/>
  <c r="BA41" i="58"/>
  <c r="BB42" i="58"/>
  <c r="BA42" i="58"/>
  <c r="BB43" i="58"/>
  <c r="BA43" i="58"/>
  <c r="BB44" i="58"/>
  <c r="BA44" i="58"/>
  <c r="BB45" i="58"/>
  <c r="BA45" i="58"/>
  <c r="BB46" i="58"/>
  <c r="BA46" i="58"/>
  <c r="BB47" i="58"/>
  <c r="BA47" i="58"/>
  <c r="BB48" i="58"/>
  <c r="BA48" i="58"/>
  <c r="BB49" i="58"/>
  <c r="BA49" i="58"/>
  <c r="BB50" i="58"/>
  <c r="BA50" i="58"/>
  <c r="BB51" i="58"/>
  <c r="BA51" i="58"/>
  <c r="BB52" i="58"/>
  <c r="BA52" i="58"/>
  <c r="BB53" i="58"/>
  <c r="BA53" i="58"/>
  <c r="BB54" i="58"/>
  <c r="BA54" i="58"/>
  <c r="BB55" i="58"/>
  <c r="BA55" i="58"/>
  <c r="BB56" i="58"/>
  <c r="BA56" i="58"/>
  <c r="BB57" i="58"/>
  <c r="BA57" i="58"/>
  <c r="BB58" i="58"/>
  <c r="BA58" i="58"/>
  <c r="BB59" i="58"/>
  <c r="BA59" i="58"/>
  <c r="BB60" i="58"/>
  <c r="BA60" i="58"/>
  <c r="BB61" i="58"/>
  <c r="BA61" i="58"/>
  <c r="BB62" i="58"/>
  <c r="BA62" i="58"/>
  <c r="BB63" i="58"/>
  <c r="BA63" i="58"/>
  <c r="BB64" i="58"/>
  <c r="BA64" i="58"/>
  <c r="BB65" i="58"/>
  <c r="BA65" i="58"/>
  <c r="BB66" i="58"/>
  <c r="BA66" i="58"/>
  <c r="BB67" i="58"/>
  <c r="BA67" i="58"/>
  <c r="BB68" i="58"/>
  <c r="BA68" i="58"/>
  <c r="BB69" i="58"/>
  <c r="BA69" i="58"/>
  <c r="BB70" i="58"/>
  <c r="BA70" i="58"/>
  <c r="BB71" i="58"/>
  <c r="BA71" i="58"/>
  <c r="BB72" i="58"/>
  <c r="BA72" i="58"/>
  <c r="BB73" i="58"/>
  <c r="BA73" i="58"/>
  <c r="BB74" i="58"/>
  <c r="BA74" i="58"/>
  <c r="BB75" i="58"/>
  <c r="BA75" i="58"/>
  <c r="BB76" i="58"/>
  <c r="BA76" i="58"/>
  <c r="BB77" i="58"/>
  <c r="BA77" i="58"/>
  <c r="BB78" i="58"/>
  <c r="BA78" i="58"/>
  <c r="BB79" i="58"/>
  <c r="BA79" i="58"/>
  <c r="BB80" i="58"/>
  <c r="BA80" i="58"/>
  <c r="BB81" i="58"/>
  <c r="BA81" i="58"/>
  <c r="BB82" i="58"/>
  <c r="BA82" i="58"/>
  <c r="BB83" i="58"/>
  <c r="BA83" i="58"/>
  <c r="BB84" i="58"/>
  <c r="BA84" i="58"/>
  <c r="BB85" i="58"/>
  <c r="BA85" i="58"/>
  <c r="BB86" i="58"/>
  <c r="BA86" i="58"/>
  <c r="BB87" i="58"/>
  <c r="BA87" i="58"/>
  <c r="BB88" i="58"/>
  <c r="BA88" i="58"/>
  <c r="BB89" i="58"/>
  <c r="BA89" i="58"/>
  <c r="BB90" i="58"/>
  <c r="BA90" i="58"/>
  <c r="BB91" i="58"/>
  <c r="BA91" i="58"/>
  <c r="BB92" i="58"/>
  <c r="BA92" i="58"/>
  <c r="BB93" i="58"/>
  <c r="BA93" i="58"/>
  <c r="BB94" i="58"/>
  <c r="BA94" i="58"/>
  <c r="BB95" i="58"/>
  <c r="BA95" i="58"/>
  <c r="BB96" i="58"/>
  <c r="BA96" i="58"/>
  <c r="BB97" i="58"/>
  <c r="BA97" i="58"/>
  <c r="BB98" i="58"/>
  <c r="BA98" i="58"/>
  <c r="BB99" i="58"/>
  <c r="BA99" i="58"/>
  <c r="BB100" i="58"/>
  <c r="BA100" i="58"/>
  <c r="BB101" i="58"/>
  <c r="BA101" i="58"/>
  <c r="BB102" i="58"/>
  <c r="BA102" i="58"/>
  <c r="BB103" i="58"/>
  <c r="BA103" i="58"/>
  <c r="BB104" i="58"/>
  <c r="BA104" i="58"/>
  <c r="BB105" i="58"/>
  <c r="BA105" i="58"/>
  <c r="BB106" i="58"/>
  <c r="BA106" i="58"/>
  <c r="BB107" i="58"/>
  <c r="BA107" i="58"/>
  <c r="BB108" i="58"/>
  <c r="BA108" i="58"/>
  <c r="BB109" i="58"/>
  <c r="BA109" i="58"/>
  <c r="BB110" i="58"/>
  <c r="BA110" i="58"/>
  <c r="BB111" i="58"/>
  <c r="BA111" i="58"/>
  <c r="BB112" i="58"/>
  <c r="BA112" i="58"/>
  <c r="BB113" i="58"/>
  <c r="BA113" i="58"/>
  <c r="BB114" i="58"/>
  <c r="BA114" i="58"/>
  <c r="BB115" i="58"/>
  <c r="BA115" i="58"/>
  <c r="BB116" i="58"/>
  <c r="BA116" i="58"/>
  <c r="BB117" i="58"/>
  <c r="BA117" i="58"/>
  <c r="BB118" i="58"/>
  <c r="BA118" i="58"/>
  <c r="BB119" i="58"/>
  <c r="BA119" i="58"/>
  <c r="BB120" i="58"/>
  <c r="BA120" i="58"/>
  <c r="BB121" i="58"/>
  <c r="BA121" i="58"/>
  <c r="BB122" i="58"/>
  <c r="BA122" i="58"/>
  <c r="BB123" i="58"/>
  <c r="BA123" i="58"/>
  <c r="BB124" i="58"/>
  <c r="BA124" i="58"/>
  <c r="BB125" i="58"/>
  <c r="BA125" i="58"/>
  <c r="BB126" i="58"/>
  <c r="BA126" i="58"/>
  <c r="BB127" i="58"/>
  <c r="BA127" i="58"/>
  <c r="BB128" i="58"/>
  <c r="BA128" i="58"/>
  <c r="BB129" i="58"/>
  <c r="BA129" i="58"/>
  <c r="BB130" i="58"/>
  <c r="BA130" i="58"/>
  <c r="BB131" i="58"/>
  <c r="BA131" i="58"/>
  <c r="BC3" i="58"/>
  <c r="BC193" i="58"/>
  <c r="BC132" i="58"/>
  <c r="BC133" i="58"/>
  <c r="BC134" i="58"/>
  <c r="BC135" i="58"/>
  <c r="BC136" i="58"/>
  <c r="BC137" i="58"/>
  <c r="BC138" i="58"/>
  <c r="BC139" i="58"/>
  <c r="BC140" i="58"/>
  <c r="BC141" i="58"/>
  <c r="BC142" i="58"/>
  <c r="BC143" i="58"/>
  <c r="BC144" i="58"/>
  <c r="BC145" i="58"/>
  <c r="BC146" i="58"/>
  <c r="BC147" i="58"/>
  <c r="BC148" i="58"/>
  <c r="BC149" i="58"/>
  <c r="BC150" i="58"/>
  <c r="BC151" i="58"/>
  <c r="BC152" i="58"/>
  <c r="BC153" i="58"/>
  <c r="BC154" i="58"/>
  <c r="BC155" i="58"/>
  <c r="BC156" i="58"/>
  <c r="BC157" i="58"/>
  <c r="BC158" i="58"/>
  <c r="BC159" i="58"/>
  <c r="BC160" i="58"/>
  <c r="BC161" i="58"/>
  <c r="BC162" i="58"/>
  <c r="BC163" i="58"/>
  <c r="BC164" i="58"/>
  <c r="BC165" i="58"/>
  <c r="BC166" i="58"/>
  <c r="BC167" i="58"/>
  <c r="BC168" i="58"/>
  <c r="BC169" i="58"/>
  <c r="BC170" i="58"/>
  <c r="BC171" i="58"/>
  <c r="BC172" i="58"/>
  <c r="BC173" i="58"/>
  <c r="BC174" i="58"/>
  <c r="BC175" i="58"/>
  <c r="BC176" i="58"/>
  <c r="BC177" i="58"/>
  <c r="BC178" i="58"/>
  <c r="BC179" i="58"/>
  <c r="BC180" i="58"/>
  <c r="BC181" i="58"/>
  <c r="BC182" i="58"/>
  <c r="BC183" i="58"/>
  <c r="BC184" i="58"/>
  <c r="BC185" i="58"/>
  <c r="BC186" i="58"/>
  <c r="BC187" i="58"/>
  <c r="BC188" i="58"/>
  <c r="BC189" i="58"/>
  <c r="BC190" i="58"/>
  <c r="BC191" i="58"/>
  <c r="BC4" i="58"/>
  <c r="G201" i="58"/>
  <c r="BC5" i="58"/>
  <c r="BC6" i="58"/>
  <c r="BC7" i="58"/>
  <c r="BC8" i="58"/>
  <c r="BC9" i="58"/>
  <c r="BC10" i="58"/>
  <c r="BC11" i="58"/>
  <c r="BC12" i="58"/>
  <c r="BC13" i="58"/>
  <c r="BC14" i="58"/>
  <c r="BC15" i="58"/>
  <c r="BC16" i="58"/>
  <c r="BC17" i="58"/>
  <c r="BC18" i="58"/>
  <c r="BC19" i="58"/>
  <c r="BC20" i="58"/>
  <c r="BC21" i="58"/>
  <c r="BC22" i="58"/>
  <c r="BC23" i="58"/>
  <c r="BC24" i="58"/>
  <c r="BC25" i="58"/>
  <c r="BC26" i="58"/>
  <c r="BC27" i="58"/>
  <c r="BC28" i="58"/>
  <c r="BC29" i="58"/>
  <c r="BC30" i="58"/>
  <c r="BC31" i="58"/>
  <c r="BC32" i="58"/>
  <c r="BC33" i="58"/>
  <c r="BC34" i="58"/>
  <c r="BC35" i="58"/>
  <c r="BC36" i="58"/>
  <c r="BC37" i="58"/>
  <c r="BC38" i="58"/>
  <c r="BC39" i="58"/>
  <c r="BC40" i="58"/>
  <c r="BC41" i="58"/>
  <c r="BC42" i="58"/>
  <c r="BC43" i="58"/>
  <c r="BC44" i="58"/>
  <c r="BC45" i="58"/>
  <c r="BC46" i="58"/>
  <c r="BC47" i="58"/>
  <c r="BC48" i="58"/>
  <c r="BC49" i="58"/>
  <c r="BC50" i="58"/>
  <c r="BC51" i="58"/>
  <c r="BC52" i="58"/>
  <c r="BC53" i="58"/>
  <c r="BC54" i="58"/>
  <c r="BC55" i="58"/>
  <c r="BC56" i="58"/>
  <c r="BC57" i="58"/>
  <c r="BC58" i="58"/>
  <c r="BC59" i="58"/>
  <c r="BC60" i="58"/>
  <c r="BC61" i="58"/>
  <c r="BC62" i="58"/>
  <c r="BC63" i="58"/>
  <c r="BC64" i="58"/>
  <c r="BC65" i="58"/>
  <c r="BC66" i="58"/>
  <c r="BC67" i="58"/>
  <c r="BC68" i="58"/>
  <c r="BC69" i="58"/>
  <c r="BC70" i="58"/>
  <c r="BC71" i="58"/>
  <c r="BC72" i="58"/>
  <c r="BC73" i="58"/>
  <c r="BC74" i="58"/>
  <c r="BC75" i="58"/>
  <c r="BC76" i="58"/>
  <c r="BC77" i="58"/>
  <c r="BC78" i="58"/>
  <c r="BC79" i="58"/>
  <c r="BC80" i="58"/>
  <c r="BC81" i="58"/>
  <c r="BC82" i="58"/>
  <c r="BC83" i="58"/>
  <c r="BC84" i="58"/>
  <c r="BC85" i="58"/>
  <c r="BC86" i="58"/>
  <c r="BC87" i="58"/>
  <c r="BC88" i="58"/>
  <c r="BC89" i="58"/>
  <c r="BC90" i="58"/>
  <c r="BC91" i="58"/>
  <c r="BC92" i="58"/>
  <c r="BC93" i="58"/>
  <c r="BC94" i="58"/>
  <c r="BC95" i="58"/>
  <c r="BC96" i="58"/>
  <c r="BC97" i="58"/>
  <c r="BC98" i="58"/>
  <c r="BC99" i="58"/>
  <c r="BC100" i="58"/>
  <c r="BC101" i="58"/>
  <c r="BC102" i="58"/>
  <c r="BC103" i="58"/>
  <c r="BC104" i="58"/>
  <c r="BC105" i="58"/>
  <c r="BC106" i="58"/>
  <c r="BC107" i="58"/>
  <c r="BC108" i="58"/>
  <c r="BC109" i="58"/>
  <c r="BC110" i="58"/>
  <c r="BC111" i="58"/>
  <c r="BC112" i="58"/>
  <c r="BC113" i="58"/>
  <c r="BC114" i="58"/>
  <c r="BC115" i="58"/>
  <c r="BC116" i="58"/>
  <c r="BC117" i="58"/>
  <c r="BC118" i="58"/>
  <c r="BC119" i="58"/>
  <c r="BC120" i="58"/>
  <c r="BC121" i="58"/>
  <c r="BC122" i="58"/>
  <c r="BC123" i="58"/>
  <c r="BC124" i="58"/>
  <c r="BC125" i="58"/>
  <c r="BC126" i="58"/>
  <c r="BC127" i="58"/>
  <c r="BC128" i="58"/>
  <c r="BC129" i="58"/>
  <c r="BC130" i="58"/>
  <c r="BC131" i="58"/>
  <c r="BD3" i="58"/>
  <c r="BD132" i="58"/>
  <c r="BD133" i="58"/>
  <c r="BD134" i="58"/>
  <c r="BD135" i="58"/>
  <c r="BD136" i="58"/>
  <c r="BD137" i="58"/>
  <c r="BD138" i="58"/>
  <c r="BD139" i="58"/>
  <c r="BD140" i="58"/>
  <c r="BD141" i="58"/>
  <c r="BD142" i="58"/>
  <c r="BD143" i="58"/>
  <c r="BD144" i="58"/>
  <c r="BD145" i="58"/>
  <c r="BD146" i="58"/>
  <c r="BD147" i="58"/>
  <c r="BD148" i="58"/>
  <c r="BD149" i="58"/>
  <c r="BD150" i="58"/>
  <c r="BD151" i="58"/>
  <c r="BD152" i="58"/>
  <c r="BD153" i="58"/>
  <c r="BD154" i="58"/>
  <c r="BD155" i="58"/>
  <c r="BD156" i="58"/>
  <c r="BD157" i="58"/>
  <c r="BD158" i="58"/>
  <c r="BD159" i="58"/>
  <c r="BD160" i="58"/>
  <c r="BD161" i="58"/>
  <c r="BD162" i="58"/>
  <c r="BD163" i="58"/>
  <c r="BD164" i="58"/>
  <c r="BD165" i="58"/>
  <c r="BD166" i="58"/>
  <c r="BD167" i="58"/>
  <c r="BD168" i="58"/>
  <c r="BD169" i="58"/>
  <c r="BD170" i="58"/>
  <c r="BD171" i="58"/>
  <c r="BD172" i="58"/>
  <c r="BD173" i="58"/>
  <c r="BD174" i="58"/>
  <c r="BD175" i="58"/>
  <c r="BD176" i="58"/>
  <c r="BD177" i="58"/>
  <c r="BD178" i="58"/>
  <c r="BD179" i="58"/>
  <c r="BD180" i="58"/>
  <c r="BD181" i="58"/>
  <c r="BD182" i="58"/>
  <c r="BD183" i="58"/>
  <c r="BD184" i="58"/>
  <c r="BD185" i="58"/>
  <c r="BD186" i="58"/>
  <c r="BD187" i="58"/>
  <c r="BD188" i="58"/>
  <c r="BD189" i="58"/>
  <c r="BD190" i="58"/>
  <c r="BD191" i="58"/>
  <c r="BD4" i="58"/>
  <c r="BD5" i="58"/>
  <c r="BD6" i="58"/>
  <c r="BD7" i="58"/>
  <c r="BD8" i="58"/>
  <c r="BD9" i="58"/>
  <c r="BD10" i="58"/>
  <c r="BD11" i="58"/>
  <c r="BD12" i="58"/>
  <c r="BD13" i="58"/>
  <c r="BD14" i="58"/>
  <c r="BD15" i="58"/>
  <c r="BD16" i="58"/>
  <c r="BD17" i="58"/>
  <c r="BD18" i="58"/>
  <c r="BD19" i="58"/>
  <c r="BD20" i="58"/>
  <c r="BD21" i="58"/>
  <c r="BD22" i="58"/>
  <c r="BD23" i="58"/>
  <c r="BD24" i="58"/>
  <c r="BD25" i="58"/>
  <c r="BD26" i="58"/>
  <c r="BD27" i="58"/>
  <c r="BD28" i="58"/>
  <c r="BD29" i="58"/>
  <c r="BD30" i="58"/>
  <c r="BD31" i="58"/>
  <c r="BD32" i="58"/>
  <c r="BD33" i="58"/>
  <c r="BD34" i="58"/>
  <c r="BD35" i="58"/>
  <c r="BD36" i="58"/>
  <c r="BD37" i="58"/>
  <c r="BD38" i="58"/>
  <c r="BD39" i="58"/>
  <c r="BD40" i="58"/>
  <c r="BD41" i="58"/>
  <c r="BD42" i="58"/>
  <c r="BD43" i="58"/>
  <c r="BD44" i="58"/>
  <c r="BD45" i="58"/>
  <c r="BD46" i="58"/>
  <c r="BD47" i="58"/>
  <c r="BD48" i="58"/>
  <c r="BD49" i="58"/>
  <c r="BD50" i="58"/>
  <c r="BD51" i="58"/>
  <c r="BD52" i="58"/>
  <c r="BD53" i="58"/>
  <c r="BD54" i="58"/>
  <c r="BD55" i="58"/>
  <c r="BD56" i="58"/>
  <c r="BD57" i="58"/>
  <c r="BD58" i="58"/>
  <c r="BD59" i="58"/>
  <c r="BD60" i="58"/>
  <c r="BD61" i="58"/>
  <c r="BD62" i="58"/>
  <c r="BD63" i="58"/>
  <c r="BD64" i="58"/>
  <c r="BD65" i="58"/>
  <c r="BD66" i="58"/>
  <c r="BD67" i="58"/>
  <c r="BD68" i="58"/>
  <c r="BD69" i="58"/>
  <c r="BD70" i="58"/>
  <c r="BD71" i="58"/>
  <c r="BD72" i="58"/>
  <c r="BD73" i="58"/>
  <c r="BD74" i="58"/>
  <c r="BD75" i="58"/>
  <c r="BD76" i="58"/>
  <c r="BD77" i="58"/>
  <c r="BD78" i="58"/>
  <c r="BD79" i="58"/>
  <c r="BD80" i="58"/>
  <c r="BD81" i="58"/>
  <c r="BD82" i="58"/>
  <c r="BD83" i="58"/>
  <c r="BD84" i="58"/>
  <c r="BD85" i="58"/>
  <c r="BD86" i="58"/>
  <c r="BD87" i="58"/>
  <c r="BD88" i="58"/>
  <c r="BD89" i="58"/>
  <c r="BD90" i="58"/>
  <c r="BD91" i="58"/>
  <c r="BD92" i="58"/>
  <c r="BD93" i="58"/>
  <c r="BD94" i="58"/>
  <c r="BD95" i="58"/>
  <c r="BD96" i="58"/>
  <c r="BD97" i="58"/>
  <c r="BD98" i="58"/>
  <c r="BD99" i="58"/>
  <c r="BD100" i="58"/>
  <c r="BD101" i="58"/>
  <c r="BD102" i="58"/>
  <c r="BD103" i="58"/>
  <c r="BD104" i="58"/>
  <c r="BD105" i="58"/>
  <c r="BD106" i="58"/>
  <c r="BD107" i="58"/>
  <c r="BD108" i="58"/>
  <c r="BD109" i="58"/>
  <c r="BD110" i="58"/>
  <c r="BD111" i="58"/>
  <c r="BD112" i="58"/>
  <c r="BD113" i="58"/>
  <c r="BD114" i="58"/>
  <c r="BD115" i="58"/>
  <c r="BD116" i="58"/>
  <c r="BD117" i="58"/>
  <c r="BD118" i="58"/>
  <c r="BD119" i="58"/>
  <c r="BD120" i="58"/>
  <c r="BD121" i="58"/>
  <c r="BD122" i="58"/>
  <c r="BD123" i="58"/>
  <c r="BD124" i="58"/>
  <c r="BD125" i="58"/>
  <c r="BD126" i="58"/>
  <c r="BD127" i="58"/>
  <c r="BD128" i="58"/>
  <c r="BD129" i="58"/>
  <c r="BD130" i="58"/>
  <c r="BD131" i="58"/>
  <c r="K4" i="54"/>
  <c r="K3" i="54"/>
  <c r="J4" i="54"/>
  <c r="A3" i="59"/>
  <c r="A4" i="59"/>
  <c r="A5" i="59"/>
  <c r="A6" i="59"/>
  <c r="A7" i="59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A102" i="59"/>
  <c r="A103" i="59"/>
  <c r="A104" i="59"/>
  <c r="A105" i="59"/>
  <c r="A106" i="59"/>
  <c r="A107" i="59"/>
  <c r="A108" i="59"/>
  <c r="A109" i="59"/>
  <c r="A110" i="59"/>
  <c r="A111" i="59"/>
  <c r="A112" i="59"/>
  <c r="A113" i="59"/>
  <c r="A114" i="59"/>
  <c r="A115" i="59"/>
  <c r="A116" i="59"/>
  <c r="A117" i="59"/>
  <c r="A118" i="59"/>
  <c r="A119" i="59"/>
  <c r="A120" i="59"/>
  <c r="A121" i="59"/>
  <c r="A122" i="59"/>
  <c r="A123" i="59"/>
  <c r="A124" i="59"/>
  <c r="A125" i="59"/>
  <c r="A126" i="59"/>
  <c r="A127" i="59"/>
  <c r="A128" i="59"/>
  <c r="A129" i="59"/>
  <c r="A130" i="59"/>
  <c r="A131" i="59"/>
  <c r="A132" i="59"/>
  <c r="A133" i="59"/>
  <c r="A134" i="59"/>
  <c r="A135" i="59"/>
  <c r="A136" i="59"/>
  <c r="A137" i="59"/>
  <c r="A138" i="59"/>
  <c r="A139" i="59"/>
  <c r="A140" i="59"/>
  <c r="A141" i="59"/>
  <c r="A142" i="59"/>
  <c r="A143" i="59"/>
  <c r="A144" i="59"/>
  <c r="A145" i="59"/>
  <c r="A146" i="59"/>
  <c r="A147" i="59"/>
  <c r="A148" i="59"/>
  <c r="A149" i="59"/>
  <c r="A150" i="59"/>
  <c r="A151" i="59"/>
  <c r="A152" i="59"/>
  <c r="A153" i="59"/>
  <c r="A154" i="59"/>
  <c r="A155" i="59"/>
  <c r="A156" i="59"/>
  <c r="A157" i="59"/>
  <c r="A158" i="59"/>
  <c r="A159" i="59"/>
  <c r="A160" i="59"/>
  <c r="A161" i="59"/>
  <c r="A162" i="59"/>
  <c r="A163" i="59"/>
  <c r="A164" i="59"/>
  <c r="A165" i="59"/>
  <c r="A166" i="59"/>
  <c r="A167" i="59"/>
  <c r="A168" i="59"/>
  <c r="A169" i="59"/>
  <c r="A170" i="59"/>
  <c r="A171" i="59"/>
  <c r="A172" i="59"/>
  <c r="A173" i="59"/>
  <c r="A174" i="59"/>
  <c r="A175" i="59"/>
  <c r="A176" i="59"/>
  <c r="A177" i="59"/>
  <c r="A178" i="59"/>
  <c r="A179" i="59"/>
  <c r="A180" i="59"/>
  <c r="A181" i="59"/>
  <c r="A182" i="59"/>
  <c r="A183" i="59"/>
  <c r="A184" i="59"/>
  <c r="A185" i="59"/>
  <c r="A186" i="59"/>
  <c r="A187" i="59"/>
  <c r="A188" i="59"/>
  <c r="A189" i="59"/>
  <c r="A190" i="59"/>
  <c r="A191" i="59"/>
  <c r="B31" i="56"/>
  <c r="B32" i="56"/>
  <c r="B33" i="56"/>
  <c r="B34" i="56"/>
  <c r="B35" i="56"/>
  <c r="B36" i="56"/>
  <c r="B37" i="56"/>
  <c r="B38" i="56"/>
  <c r="B39" i="56"/>
  <c r="B40" i="56"/>
  <c r="B41" i="56"/>
  <c r="B42" i="56"/>
  <c r="A4" i="60"/>
  <c r="B4" i="60"/>
  <c r="A5" i="60"/>
  <c r="B5" i="60"/>
  <c r="A6" i="60"/>
  <c r="B6" i="60"/>
  <c r="A7" i="60"/>
  <c r="B7" i="60"/>
  <c r="A8" i="60"/>
  <c r="B8" i="60"/>
  <c r="A9" i="60"/>
  <c r="B9" i="60"/>
  <c r="A10" i="60"/>
  <c r="B10" i="60"/>
  <c r="A11" i="60"/>
  <c r="B11" i="60"/>
  <c r="A12" i="60"/>
  <c r="B12" i="60"/>
  <c r="A13" i="60"/>
  <c r="B13" i="60"/>
  <c r="A14" i="60"/>
  <c r="B14" i="60"/>
  <c r="A15" i="60"/>
  <c r="B15" i="60"/>
  <c r="A16" i="60"/>
  <c r="B16" i="60"/>
  <c r="A17" i="60"/>
  <c r="B17" i="60"/>
  <c r="A18" i="60"/>
  <c r="B18" i="60"/>
  <c r="A19" i="60"/>
  <c r="B19" i="60"/>
  <c r="A20" i="60"/>
  <c r="B20" i="60"/>
  <c r="A21" i="60"/>
  <c r="B21" i="60"/>
  <c r="A22" i="60"/>
  <c r="B22" i="60"/>
  <c r="A23" i="60"/>
  <c r="B23" i="60"/>
  <c r="A24" i="60"/>
  <c r="B24" i="60"/>
  <c r="A25" i="60"/>
  <c r="B25" i="60"/>
  <c r="A26" i="60"/>
  <c r="B26" i="60"/>
  <c r="A27" i="60"/>
  <c r="B27" i="60"/>
  <c r="A28" i="60"/>
  <c r="B28" i="60"/>
  <c r="A29" i="60"/>
  <c r="B29" i="60"/>
  <c r="A30" i="60"/>
  <c r="B30" i="60"/>
  <c r="A31" i="60"/>
  <c r="B31" i="60"/>
  <c r="A32" i="60"/>
  <c r="B32" i="60"/>
  <c r="A33" i="60"/>
  <c r="B33" i="60"/>
  <c r="A34" i="60"/>
  <c r="B34" i="60"/>
  <c r="A35" i="60"/>
  <c r="B35" i="60"/>
  <c r="A36" i="60"/>
  <c r="B36" i="60"/>
  <c r="A37" i="60"/>
  <c r="B37" i="60"/>
  <c r="A38" i="60"/>
  <c r="B38" i="60"/>
  <c r="A39" i="60"/>
  <c r="B39" i="60"/>
  <c r="A40" i="60"/>
  <c r="B40" i="60"/>
  <c r="A41" i="60"/>
  <c r="B41" i="60"/>
  <c r="A42" i="60"/>
  <c r="B42" i="60"/>
  <c r="A43" i="60"/>
  <c r="B43" i="60"/>
  <c r="A44" i="60"/>
  <c r="B44" i="60"/>
  <c r="A45" i="60"/>
  <c r="B45" i="60"/>
  <c r="A46" i="60"/>
  <c r="B46" i="60"/>
  <c r="A47" i="60"/>
  <c r="B47" i="60"/>
  <c r="A48" i="60"/>
  <c r="B48" i="60"/>
  <c r="A49" i="60"/>
  <c r="B49" i="60"/>
  <c r="A50" i="60"/>
  <c r="B50" i="60"/>
  <c r="A51" i="60"/>
  <c r="B51" i="60"/>
  <c r="A52" i="60"/>
  <c r="B52" i="60"/>
  <c r="A53" i="60"/>
  <c r="B53" i="60"/>
  <c r="A54" i="60"/>
  <c r="B54" i="60"/>
  <c r="A55" i="60"/>
  <c r="B55" i="60"/>
  <c r="A56" i="60"/>
  <c r="B56" i="60"/>
  <c r="A57" i="60"/>
  <c r="B57" i="60"/>
  <c r="A58" i="60"/>
  <c r="B58" i="60"/>
  <c r="A59" i="60"/>
  <c r="B59" i="60"/>
  <c r="A60" i="60"/>
  <c r="B60" i="60"/>
  <c r="A61" i="60"/>
  <c r="B61" i="60"/>
  <c r="A62" i="60"/>
  <c r="B62" i="60"/>
  <c r="A63" i="60"/>
  <c r="B63" i="60"/>
  <c r="A64" i="60"/>
  <c r="B64" i="60"/>
  <c r="A65" i="60"/>
  <c r="B65" i="60"/>
  <c r="A66" i="60"/>
  <c r="B66" i="60"/>
  <c r="A67" i="60"/>
  <c r="B67" i="60"/>
  <c r="A68" i="60"/>
  <c r="B68" i="60"/>
  <c r="A69" i="60"/>
  <c r="B69" i="60"/>
  <c r="A70" i="60"/>
  <c r="B70" i="60"/>
  <c r="A71" i="60"/>
  <c r="B71" i="60"/>
  <c r="A72" i="60"/>
  <c r="B72" i="60"/>
  <c r="A73" i="60"/>
  <c r="B73" i="60"/>
  <c r="A74" i="60"/>
  <c r="B74" i="60"/>
  <c r="A75" i="60"/>
  <c r="B75" i="60"/>
  <c r="A76" i="60"/>
  <c r="B76" i="60"/>
  <c r="A77" i="60"/>
  <c r="B77" i="60"/>
  <c r="A78" i="60"/>
  <c r="B78" i="60"/>
  <c r="A79" i="60"/>
  <c r="B79" i="60"/>
  <c r="A80" i="60"/>
  <c r="B80" i="60"/>
  <c r="A81" i="60"/>
  <c r="B81" i="60"/>
  <c r="A82" i="60"/>
  <c r="B82" i="60"/>
  <c r="A83" i="60"/>
  <c r="B83" i="60"/>
  <c r="A84" i="60"/>
  <c r="B84" i="60"/>
  <c r="F84" i="60"/>
  <c r="A85" i="60"/>
  <c r="B85" i="60"/>
  <c r="A86" i="60"/>
  <c r="B86" i="60"/>
  <c r="A87" i="60"/>
  <c r="B87" i="60"/>
  <c r="A88" i="60"/>
  <c r="B88" i="60"/>
  <c r="A89" i="60"/>
  <c r="B89" i="60"/>
  <c r="A90" i="60"/>
  <c r="B90" i="60"/>
  <c r="A91" i="60"/>
  <c r="B91" i="60"/>
  <c r="A92" i="60"/>
  <c r="B92" i="60"/>
  <c r="A93" i="60"/>
  <c r="B93" i="60"/>
  <c r="A94" i="60"/>
  <c r="B94" i="60"/>
  <c r="A95" i="60"/>
  <c r="B95" i="60"/>
  <c r="A96" i="60"/>
  <c r="B96" i="60"/>
  <c r="A97" i="60"/>
  <c r="B97" i="60"/>
  <c r="A98" i="60"/>
  <c r="B98" i="60"/>
  <c r="A99" i="60"/>
  <c r="B99" i="60"/>
  <c r="A100" i="60"/>
  <c r="B100" i="60"/>
  <c r="A101" i="60"/>
  <c r="B101" i="60"/>
  <c r="A102" i="60"/>
  <c r="B102" i="60"/>
  <c r="A103" i="60"/>
  <c r="B103" i="60"/>
  <c r="A104" i="60"/>
  <c r="B104" i="60"/>
  <c r="A105" i="60"/>
  <c r="B105" i="60"/>
  <c r="A106" i="60"/>
  <c r="B106" i="60"/>
  <c r="A107" i="60"/>
  <c r="B107" i="60"/>
  <c r="A108" i="60"/>
  <c r="B108" i="60"/>
  <c r="A109" i="60"/>
  <c r="B109" i="60"/>
  <c r="A110" i="60"/>
  <c r="B110" i="60"/>
  <c r="A111" i="60"/>
  <c r="B111" i="60"/>
  <c r="A112" i="60"/>
  <c r="B112" i="60"/>
  <c r="A113" i="60"/>
  <c r="B113" i="60"/>
  <c r="A114" i="60"/>
  <c r="B114" i="60"/>
  <c r="A115" i="60"/>
  <c r="B115" i="60"/>
  <c r="A116" i="60"/>
  <c r="B116" i="60"/>
  <c r="A117" i="60"/>
  <c r="B117" i="60"/>
  <c r="A118" i="60"/>
  <c r="B118" i="60"/>
  <c r="A119" i="60"/>
  <c r="B119" i="60"/>
  <c r="A120" i="60"/>
  <c r="B120" i="60"/>
  <c r="A121" i="60"/>
  <c r="B121" i="60"/>
  <c r="A122" i="60"/>
  <c r="B122" i="60"/>
  <c r="A123" i="60"/>
  <c r="B123" i="60"/>
  <c r="A124" i="60"/>
  <c r="B124" i="60"/>
  <c r="A125" i="60"/>
  <c r="B125" i="60"/>
  <c r="A126" i="60"/>
  <c r="B126" i="60"/>
  <c r="F126" i="60"/>
  <c r="A127" i="60"/>
  <c r="B127" i="60"/>
  <c r="A128" i="60"/>
  <c r="B128" i="60"/>
  <c r="F128" i="60"/>
  <c r="A129" i="60"/>
  <c r="B129" i="60"/>
  <c r="A130" i="60"/>
  <c r="B130" i="60"/>
  <c r="A131" i="60"/>
  <c r="B131" i="60"/>
  <c r="A132" i="60"/>
  <c r="B132" i="60"/>
  <c r="A133" i="60"/>
  <c r="B133" i="60"/>
  <c r="A134" i="60"/>
  <c r="B134" i="60"/>
  <c r="A135" i="60"/>
  <c r="B135" i="60"/>
  <c r="A136" i="60"/>
  <c r="B136" i="60"/>
  <c r="A137" i="60"/>
  <c r="B137" i="60"/>
  <c r="A138" i="60"/>
  <c r="B138" i="60"/>
  <c r="F138" i="60"/>
  <c r="A139" i="60"/>
  <c r="B139" i="60"/>
  <c r="A140" i="60"/>
  <c r="B140" i="60"/>
  <c r="A141" i="60"/>
  <c r="B141" i="60"/>
  <c r="A142" i="60"/>
  <c r="B142" i="60"/>
  <c r="A143" i="60"/>
  <c r="B143" i="60"/>
  <c r="A144" i="60"/>
  <c r="B144" i="60"/>
  <c r="A145" i="60"/>
  <c r="B145" i="60"/>
  <c r="A146" i="60"/>
  <c r="B146" i="60"/>
  <c r="A147" i="60"/>
  <c r="B147" i="60"/>
  <c r="A148" i="60"/>
  <c r="B148" i="60"/>
  <c r="F148" i="60"/>
  <c r="A149" i="60"/>
  <c r="B149" i="60"/>
  <c r="A150" i="60"/>
  <c r="B150" i="60"/>
  <c r="A151" i="60"/>
  <c r="B151" i="60"/>
  <c r="A152" i="60"/>
  <c r="B152" i="60"/>
  <c r="A153" i="60"/>
  <c r="B153" i="60"/>
  <c r="A154" i="60"/>
  <c r="B154" i="60"/>
  <c r="A155" i="60"/>
  <c r="B155" i="60"/>
  <c r="A156" i="60"/>
  <c r="B156" i="60"/>
  <c r="A157" i="60"/>
  <c r="B157" i="60"/>
  <c r="A158" i="60"/>
  <c r="B158" i="60"/>
  <c r="A159" i="60"/>
  <c r="B159" i="60"/>
  <c r="A160" i="60"/>
  <c r="B160" i="60"/>
  <c r="A161" i="60"/>
  <c r="B161" i="60"/>
  <c r="A162" i="60"/>
  <c r="B162" i="60"/>
  <c r="A163" i="60"/>
  <c r="B163" i="60"/>
  <c r="A164" i="60"/>
  <c r="B164" i="60"/>
  <c r="A165" i="60"/>
  <c r="B165" i="60"/>
  <c r="A166" i="60"/>
  <c r="B166" i="60"/>
  <c r="A167" i="60"/>
  <c r="B167" i="60"/>
  <c r="A168" i="60"/>
  <c r="B168" i="60"/>
  <c r="A169" i="60"/>
  <c r="B169" i="60"/>
  <c r="A170" i="60"/>
  <c r="B170" i="60"/>
  <c r="A171" i="60"/>
  <c r="B171" i="60"/>
  <c r="A172" i="60"/>
  <c r="B172" i="60"/>
  <c r="A173" i="60"/>
  <c r="B173" i="60"/>
  <c r="A174" i="60"/>
  <c r="B174" i="60"/>
  <c r="A175" i="60"/>
  <c r="B175" i="60"/>
  <c r="A176" i="60"/>
  <c r="B176" i="60"/>
  <c r="A177" i="60"/>
  <c r="B177" i="60"/>
  <c r="A178" i="60"/>
  <c r="B178" i="60"/>
  <c r="A179" i="60"/>
  <c r="B179" i="60"/>
  <c r="A180" i="60"/>
  <c r="B180" i="60"/>
  <c r="A181" i="60"/>
  <c r="B181" i="60"/>
  <c r="A182" i="60"/>
  <c r="B182" i="60"/>
  <c r="A183" i="60"/>
  <c r="B183" i="60"/>
  <c r="A184" i="60"/>
  <c r="B184" i="60"/>
  <c r="A185" i="60"/>
  <c r="B185" i="60"/>
  <c r="A186" i="60"/>
  <c r="B186" i="60"/>
  <c r="A187" i="60"/>
  <c r="B187" i="60"/>
  <c r="A188" i="60"/>
  <c r="B188" i="60"/>
  <c r="A189" i="60"/>
  <c r="B189" i="60"/>
  <c r="A190" i="60"/>
  <c r="B190" i="60"/>
  <c r="A191" i="60"/>
  <c r="B191" i="60"/>
  <c r="B4" i="59"/>
  <c r="B5" i="59"/>
  <c r="B6" i="59"/>
  <c r="B7" i="59"/>
  <c r="B8" i="59"/>
  <c r="B9" i="59"/>
  <c r="B10" i="59"/>
  <c r="B11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B102" i="59"/>
  <c r="B103" i="59"/>
  <c r="B104" i="59"/>
  <c r="B105" i="59"/>
  <c r="B106" i="59"/>
  <c r="B107" i="59"/>
  <c r="B108" i="59"/>
  <c r="B109" i="59"/>
  <c r="B110" i="59"/>
  <c r="B111" i="59"/>
  <c r="B112" i="59"/>
  <c r="B113" i="59"/>
  <c r="B114" i="59"/>
  <c r="B115" i="59"/>
  <c r="B116" i="59"/>
  <c r="B117" i="59"/>
  <c r="B118" i="59"/>
  <c r="B119" i="59"/>
  <c r="B120" i="59"/>
  <c r="B121" i="59"/>
  <c r="B122" i="59"/>
  <c r="B123" i="59"/>
  <c r="B124" i="59"/>
  <c r="B125" i="59"/>
  <c r="B126" i="59"/>
  <c r="B127" i="59"/>
  <c r="B128" i="59"/>
  <c r="B129" i="59"/>
  <c r="B130" i="59"/>
  <c r="B131" i="59"/>
  <c r="B132" i="59"/>
  <c r="B133" i="59"/>
  <c r="B134" i="59"/>
  <c r="B135" i="59"/>
  <c r="B136" i="59"/>
  <c r="B137" i="59"/>
  <c r="B138" i="59"/>
  <c r="B139" i="59"/>
  <c r="B140" i="59"/>
  <c r="B141" i="59"/>
  <c r="B142" i="59"/>
  <c r="B143" i="59"/>
  <c r="B144" i="59"/>
  <c r="B145" i="59"/>
  <c r="B146" i="59"/>
  <c r="B147" i="59"/>
  <c r="B148" i="59"/>
  <c r="B149" i="59"/>
  <c r="B150" i="59"/>
  <c r="B151" i="59"/>
  <c r="B152" i="59"/>
  <c r="B153" i="59"/>
  <c r="B154" i="59"/>
  <c r="B155" i="59"/>
  <c r="B156" i="59"/>
  <c r="B157" i="59"/>
  <c r="B158" i="59"/>
  <c r="B159" i="59"/>
  <c r="B160" i="59"/>
  <c r="B161" i="59"/>
  <c r="B162" i="59"/>
  <c r="B163" i="59"/>
  <c r="B164" i="59"/>
  <c r="B165" i="59"/>
  <c r="B166" i="59"/>
  <c r="B167" i="59"/>
  <c r="B168" i="59"/>
  <c r="B169" i="59"/>
  <c r="B170" i="59"/>
  <c r="B171" i="59"/>
  <c r="B172" i="59"/>
  <c r="B173" i="59"/>
  <c r="B174" i="59"/>
  <c r="B175" i="59"/>
  <c r="B176" i="59"/>
  <c r="B177" i="59"/>
  <c r="B178" i="59"/>
  <c r="B179" i="59"/>
  <c r="B180" i="59"/>
  <c r="B181" i="59"/>
  <c r="B182" i="59"/>
  <c r="B183" i="59"/>
  <c r="B184" i="59"/>
  <c r="B185" i="59"/>
  <c r="B186" i="59"/>
  <c r="B187" i="59"/>
  <c r="B188" i="59"/>
  <c r="B189" i="59"/>
  <c r="B190" i="59"/>
  <c r="B191" i="59"/>
  <c r="AP193" i="59"/>
  <c r="AP196" i="59"/>
  <c r="AZ229" i="58"/>
  <c r="AY229" i="58"/>
  <c r="AX229" i="58"/>
  <c r="AW229" i="58"/>
  <c r="AU229" i="58"/>
  <c r="AT229" i="58"/>
  <c r="K229" i="58"/>
  <c r="F229" i="58"/>
  <c r="E229" i="58"/>
  <c r="F225" i="58"/>
  <c r="E225" i="58"/>
  <c r="H225" i="58"/>
  <c r="F224" i="58"/>
  <c r="E224" i="58"/>
  <c r="H224" i="58"/>
  <c r="E226" i="58"/>
  <c r="F226" i="58"/>
  <c r="E228" i="58"/>
  <c r="F228" i="58"/>
  <c r="H228" i="58"/>
  <c r="K228" i="58"/>
  <c r="F227" i="58"/>
  <c r="H227" i="58"/>
  <c r="E227" i="58"/>
  <c r="K227" i="58"/>
  <c r="I4" i="54"/>
  <c r="A32" i="56"/>
  <c r="A33" i="56"/>
  <c r="A34" i="56"/>
  <c r="A35" i="56"/>
  <c r="A36" i="56"/>
  <c r="A37" i="56"/>
  <c r="A38" i="56"/>
  <c r="A39" i="56"/>
  <c r="A40" i="56"/>
  <c r="A41" i="56"/>
  <c r="A42" i="56"/>
  <c r="A31" i="56"/>
  <c r="A362" i="59"/>
  <c r="A363" i="59"/>
  <c r="A364" i="59"/>
  <c r="A365" i="59"/>
  <c r="A366" i="59"/>
  <c r="A367" i="59"/>
  <c r="A368" i="59"/>
  <c r="A369" i="59"/>
  <c r="A370" i="59"/>
  <c r="AT228" i="58"/>
  <c r="AU228" i="58"/>
  <c r="K226" i="58"/>
  <c r="AT226" i="58"/>
  <c r="AU226" i="58"/>
  <c r="D25" i="55"/>
  <c r="E25" i="55"/>
  <c r="F25" i="55"/>
  <c r="B3" i="60"/>
  <c r="A3" i="60"/>
  <c r="B362" i="59"/>
  <c r="B363" i="59"/>
  <c r="B364" i="59"/>
  <c r="B365" i="59"/>
  <c r="B366" i="59"/>
  <c r="B367" i="59"/>
  <c r="B368" i="59"/>
  <c r="B369" i="59"/>
  <c r="B370" i="59"/>
  <c r="B3" i="59"/>
  <c r="AW228" i="58"/>
  <c r="AX228" i="58"/>
  <c r="AY228" i="58"/>
  <c r="AZ228" i="58"/>
  <c r="AZ226" i="58"/>
  <c r="AY226" i="58"/>
  <c r="AX226" i="58"/>
  <c r="AW226" i="58"/>
  <c r="AZ193" i="58"/>
  <c r="B20" i="56"/>
  <c r="B21" i="56"/>
  <c r="B22" i="56"/>
  <c r="B19" i="56"/>
  <c r="D14" i="62"/>
  <c r="D13" i="62"/>
  <c r="E13" i="62"/>
  <c r="D12" i="62"/>
  <c r="E12" i="62"/>
  <c r="H5" i="62"/>
  <c r="K373" i="59"/>
  <c r="D45" i="56"/>
  <c r="L373" i="59"/>
  <c r="L374" i="59"/>
  <c r="E45" i="56"/>
  <c r="M373" i="59"/>
  <c r="M374" i="59"/>
  <c r="F45" i="56"/>
  <c r="N373" i="59"/>
  <c r="N374" i="59"/>
  <c r="G45" i="56"/>
  <c r="O373" i="59"/>
  <c r="O374" i="59"/>
  <c r="H45" i="56"/>
  <c r="P373" i="59"/>
  <c r="P374" i="59"/>
  <c r="I45" i="56"/>
  <c r="Q373" i="59"/>
  <c r="Q374" i="59"/>
  <c r="J45" i="56"/>
  <c r="R373" i="59"/>
  <c r="R374" i="59"/>
  <c r="K45" i="56"/>
  <c r="S373" i="59"/>
  <c r="S374" i="59"/>
  <c r="L45" i="56"/>
  <c r="T373" i="59"/>
  <c r="T374" i="59"/>
  <c r="M45" i="56"/>
  <c r="U373" i="59"/>
  <c r="U374" i="59"/>
  <c r="N45" i="56"/>
  <c r="V373" i="59"/>
  <c r="V374" i="59"/>
  <c r="O45" i="56"/>
  <c r="W373" i="59"/>
  <c r="W374" i="59"/>
  <c r="P45" i="56"/>
  <c r="X373" i="59"/>
  <c r="X374" i="59"/>
  <c r="Q45" i="56"/>
  <c r="Y373" i="59"/>
  <c r="Y374" i="59"/>
  <c r="R45" i="56"/>
  <c r="Z373" i="59"/>
  <c r="Z374" i="59"/>
  <c r="S45" i="56"/>
  <c r="AA373" i="59"/>
  <c r="AA374" i="59"/>
  <c r="T45" i="56"/>
  <c r="AB373" i="59"/>
  <c r="AB374" i="59"/>
  <c r="U45" i="56"/>
  <c r="AC373" i="59"/>
  <c r="AC374" i="59"/>
  <c r="V45" i="56"/>
  <c r="AD373" i="59"/>
  <c r="AD374" i="59"/>
  <c r="W45" i="56"/>
  <c r="AE373" i="59"/>
  <c r="AE374" i="59"/>
  <c r="X45" i="56"/>
  <c r="AF373" i="59"/>
  <c r="AF374" i="59"/>
  <c r="Y45" i="56"/>
  <c r="AG373" i="59"/>
  <c r="AG374" i="59"/>
  <c r="Z45" i="56"/>
  <c r="AH373" i="59"/>
  <c r="AH374" i="59"/>
  <c r="AA45" i="56"/>
  <c r="AI373" i="59"/>
  <c r="AI374" i="59"/>
  <c r="AB45" i="56"/>
  <c r="AJ373" i="59"/>
  <c r="AJ374" i="59"/>
  <c r="AC45" i="56"/>
  <c r="AK373" i="59"/>
  <c r="AK374" i="59"/>
  <c r="AD45" i="56"/>
  <c r="AL373" i="59"/>
  <c r="AL374" i="59"/>
  <c r="AE45" i="56"/>
  <c r="AM373" i="59"/>
  <c r="AM374" i="59"/>
  <c r="AF45" i="56"/>
  <c r="AN373" i="59"/>
  <c r="AN374" i="59"/>
  <c r="AG45" i="56"/>
  <c r="AO373" i="59"/>
  <c r="AO374" i="59"/>
  <c r="C27" i="62"/>
  <c r="AO194" i="60"/>
  <c r="D11" i="62"/>
  <c r="G11" i="62"/>
  <c r="D10" i="62"/>
  <c r="D15" i="62"/>
  <c r="E15" i="62"/>
  <c r="E10" i="62"/>
  <c r="D9" i="62"/>
  <c r="E9" i="62"/>
  <c r="D16" i="62"/>
  <c r="E16" i="62"/>
  <c r="B21" i="62"/>
  <c r="B20" i="62"/>
  <c r="B16" i="62"/>
  <c r="G4" i="54"/>
  <c r="E4" i="54"/>
  <c r="H1" i="58"/>
  <c r="K1" i="59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Y25" i="55"/>
  <c r="Z25" i="55"/>
  <c r="AA25" i="55"/>
  <c r="AB25" i="55"/>
  <c r="AC25" i="55"/>
  <c r="AD25" i="55"/>
  <c r="AE25" i="55"/>
  <c r="AF25" i="55"/>
  <c r="AG25" i="55"/>
  <c r="AH25" i="55"/>
  <c r="AI25" i="55"/>
  <c r="AJ25" i="55"/>
  <c r="AK25" i="55"/>
  <c r="AL25" i="55"/>
  <c r="A1" i="54"/>
  <c r="D3" i="56"/>
  <c r="E3" i="56"/>
  <c r="F3" i="56"/>
  <c r="G3" i="56"/>
  <c r="H3" i="56"/>
  <c r="I3" i="56"/>
  <c r="J3" i="56"/>
  <c r="K3" i="56"/>
  <c r="L3" i="56"/>
  <c r="M3" i="56"/>
  <c r="N3" i="56"/>
  <c r="O3" i="56"/>
  <c r="P3" i="56"/>
  <c r="Q3" i="56"/>
  <c r="R3" i="56"/>
  <c r="S3" i="56"/>
  <c r="T3" i="56"/>
  <c r="U3" i="56"/>
  <c r="V3" i="56"/>
  <c r="W3" i="56"/>
  <c r="X3" i="56"/>
  <c r="Y3" i="56"/>
  <c r="Z3" i="56"/>
  <c r="AA3" i="56"/>
  <c r="AB3" i="56"/>
  <c r="AC3" i="56"/>
  <c r="AD3" i="56"/>
  <c r="AE3" i="56"/>
  <c r="AF3" i="56"/>
  <c r="AG3" i="56"/>
  <c r="L380" i="59"/>
  <c r="I3" i="54"/>
  <c r="K380" i="59"/>
  <c r="K1" i="60"/>
  <c r="AI46" i="56"/>
  <c r="D29" i="56"/>
  <c r="E29" i="56"/>
  <c r="F29" i="56"/>
  <c r="G29" i="56"/>
  <c r="H29" i="56"/>
  <c r="I29" i="56"/>
  <c r="J29" i="56"/>
  <c r="K29" i="56"/>
  <c r="L29" i="56"/>
  <c r="M29" i="56"/>
  <c r="N29" i="56"/>
  <c r="O29" i="56"/>
  <c r="P29" i="56"/>
  <c r="Q29" i="56"/>
  <c r="R29" i="56"/>
  <c r="S29" i="56"/>
  <c r="T29" i="56"/>
  <c r="U29" i="56"/>
  <c r="V29" i="56"/>
  <c r="W29" i="56"/>
  <c r="X29" i="56"/>
  <c r="Y29" i="56"/>
  <c r="Z29" i="56"/>
  <c r="AA29" i="56"/>
  <c r="AB29" i="56"/>
  <c r="AC29" i="56"/>
  <c r="AD29" i="56"/>
  <c r="AE29" i="56"/>
  <c r="AF29" i="56"/>
  <c r="AG29" i="56"/>
  <c r="L1" i="60"/>
  <c r="G9" i="62"/>
  <c r="F193" i="58"/>
  <c r="AW193" i="58"/>
  <c r="G207" i="58"/>
  <c r="AX193" i="58"/>
  <c r="K363" i="59"/>
  <c r="H226" i="58"/>
  <c r="K366" i="59"/>
  <c r="AQ366" i="59"/>
  <c r="K367" i="59"/>
  <c r="AQ367" i="59"/>
  <c r="K362" i="59"/>
  <c r="K370" i="59"/>
  <c r="K368" i="59"/>
  <c r="K364" i="59"/>
  <c r="K365" i="59"/>
  <c r="AQ365" i="59"/>
  <c r="K369" i="59"/>
  <c r="D22" i="56"/>
  <c r="H22" i="56"/>
  <c r="J22" i="56"/>
  <c r="L22" i="56"/>
  <c r="K22" i="56"/>
  <c r="N22" i="56"/>
  <c r="P22" i="56"/>
  <c r="O22" i="56"/>
  <c r="R22" i="56"/>
  <c r="S22" i="56"/>
  <c r="U22" i="56"/>
  <c r="V22" i="56"/>
  <c r="X22" i="56"/>
  <c r="Y22" i="56"/>
  <c r="Z22" i="56"/>
  <c r="AA22" i="56"/>
  <c r="AC22" i="56"/>
  <c r="AD22" i="56"/>
  <c r="AE22" i="56"/>
  <c r="AF22" i="56"/>
  <c r="AQ364" i="59"/>
  <c r="AQ369" i="59"/>
  <c r="AQ363" i="59"/>
  <c r="AQ370" i="59"/>
  <c r="AQ368" i="59"/>
  <c r="D20" i="56"/>
  <c r="M209" i="58"/>
  <c r="M210" i="58"/>
  <c r="M211" i="58"/>
  <c r="W22" i="56"/>
  <c r="G22" i="56"/>
  <c r="AB22" i="56"/>
  <c r="M22" i="56"/>
  <c r="AG22" i="56"/>
  <c r="G13" i="62"/>
  <c r="AC219" i="58"/>
  <c r="F22" i="56"/>
  <c r="G138" i="60"/>
  <c r="K138" i="59"/>
  <c r="N85" i="58"/>
  <c r="E11" i="62"/>
  <c r="G200" i="58"/>
  <c r="G202" i="58"/>
  <c r="N190" i="58"/>
  <c r="M190" i="58"/>
  <c r="G49" i="60"/>
  <c r="K49" i="59"/>
  <c r="N219" i="58"/>
  <c r="Z219" i="58"/>
  <c r="H144" i="60"/>
  <c r="E191" i="60"/>
  <c r="H191" i="60"/>
  <c r="F191" i="60"/>
  <c r="H190" i="60"/>
  <c r="F190" i="60"/>
  <c r="H188" i="60"/>
  <c r="F188" i="60"/>
  <c r="N179" i="58"/>
  <c r="H167" i="58"/>
  <c r="G167" i="60"/>
  <c r="K167" i="59"/>
  <c r="M166" i="58"/>
  <c r="H160" i="60"/>
  <c r="F160" i="60"/>
  <c r="H155" i="58"/>
  <c r="H137" i="60"/>
  <c r="F137" i="60"/>
  <c r="N137" i="58"/>
  <c r="G123" i="60"/>
  <c r="K123" i="59"/>
  <c r="H120" i="60"/>
  <c r="F120" i="60"/>
  <c r="N119" i="58"/>
  <c r="N101" i="58"/>
  <c r="M101" i="58"/>
  <c r="H99" i="58"/>
  <c r="H91" i="60"/>
  <c r="F91" i="60"/>
  <c r="E90" i="60"/>
  <c r="H90" i="60"/>
  <c r="H81" i="60"/>
  <c r="H80" i="58"/>
  <c r="H78" i="58"/>
  <c r="H68" i="60"/>
  <c r="F68" i="60"/>
  <c r="H67" i="60"/>
  <c r="F67" i="60"/>
  <c r="H65" i="60"/>
  <c r="F65" i="60"/>
  <c r="H64" i="60"/>
  <c r="F64" i="60"/>
  <c r="H62" i="60"/>
  <c r="F62" i="60"/>
  <c r="H60" i="58"/>
  <c r="H57" i="58"/>
  <c r="M56" i="58"/>
  <c r="G39" i="60"/>
  <c r="H35" i="58"/>
  <c r="H22" i="60"/>
  <c r="F22" i="60"/>
  <c r="H187" i="60"/>
  <c r="F187" i="60"/>
  <c r="N187" i="58"/>
  <c r="N164" i="58"/>
  <c r="M109" i="58"/>
  <c r="AQ362" i="59"/>
  <c r="G10" i="62"/>
  <c r="M226" i="58"/>
  <c r="BD193" i="58"/>
  <c r="H185" i="60"/>
  <c r="F185" i="60"/>
  <c r="H142" i="60"/>
  <c r="F142" i="60"/>
  <c r="M187" i="58"/>
  <c r="H184" i="60"/>
  <c r="F184" i="60"/>
  <c r="H158" i="58"/>
  <c r="M158" i="58"/>
  <c r="H153" i="60"/>
  <c r="F153" i="60"/>
  <c r="H140" i="60"/>
  <c r="F140" i="60"/>
  <c r="H134" i="58"/>
  <c r="N134" i="58"/>
  <c r="H97" i="60"/>
  <c r="F97" i="60"/>
  <c r="H96" i="58"/>
  <c r="M96" i="58"/>
  <c r="M87" i="58"/>
  <c r="G86" i="60"/>
  <c r="K86" i="59"/>
  <c r="H84" i="58"/>
  <c r="G84" i="60"/>
  <c r="K84" i="59"/>
  <c r="M49" i="58"/>
  <c r="H32" i="60"/>
  <c r="AQ374" i="59"/>
  <c r="AI45" i="56"/>
  <c r="BB193" i="58"/>
  <c r="E1" i="55"/>
  <c r="F1" i="55"/>
  <c r="G1" i="55"/>
  <c r="H1" i="55"/>
  <c r="I1" i="55"/>
  <c r="J1" i="55"/>
  <c r="K1" i="55"/>
  <c r="L1" i="55"/>
  <c r="M1" i="55"/>
  <c r="N1" i="55"/>
  <c r="O1" i="55"/>
  <c r="P1" i="55"/>
  <c r="Q1" i="55"/>
  <c r="R1" i="55"/>
  <c r="S1" i="55"/>
  <c r="T1" i="55"/>
  <c r="U1" i="55"/>
  <c r="V1" i="55"/>
  <c r="W1" i="55"/>
  <c r="X1" i="55"/>
  <c r="Y1" i="55"/>
  <c r="Z1" i="55"/>
  <c r="AA1" i="55"/>
  <c r="AB1" i="55"/>
  <c r="AC1" i="55"/>
  <c r="AD1" i="55"/>
  <c r="AE1" i="55"/>
  <c r="AF1" i="55"/>
  <c r="AG1" i="55"/>
  <c r="N176" i="58"/>
  <c r="M176" i="58"/>
  <c r="L362" i="59"/>
  <c r="M362" i="59"/>
  <c r="M163" i="58"/>
  <c r="F86" i="60"/>
  <c r="N30" i="58"/>
  <c r="M30" i="58"/>
  <c r="M28" i="58"/>
  <c r="N28" i="58"/>
  <c r="G10" i="60"/>
  <c r="K10" i="59"/>
  <c r="L10" i="59"/>
  <c r="L365" i="59"/>
  <c r="M365" i="59"/>
  <c r="I22" i="56"/>
  <c r="AQ373" i="59"/>
  <c r="H229" i="58"/>
  <c r="K138" i="60"/>
  <c r="H176" i="60"/>
  <c r="F176" i="60"/>
  <c r="H163" i="60"/>
  <c r="F163" i="60"/>
  <c r="H156" i="60"/>
  <c r="F156" i="60"/>
  <c r="H150" i="60"/>
  <c r="H147" i="58"/>
  <c r="H131" i="60"/>
  <c r="F131" i="60"/>
  <c r="N131" i="58"/>
  <c r="H94" i="60"/>
  <c r="F94" i="60"/>
  <c r="H93" i="58"/>
  <c r="H73" i="60"/>
  <c r="F73" i="60"/>
  <c r="H30" i="60"/>
  <c r="F30" i="60"/>
  <c r="H24" i="58"/>
  <c r="G24" i="60"/>
  <c r="K24" i="59"/>
  <c r="H14" i="60"/>
  <c r="F14" i="60"/>
  <c r="H46" i="60"/>
  <c r="H175" i="60"/>
  <c r="F175" i="60"/>
  <c r="H174" i="60"/>
  <c r="F174" i="60"/>
  <c r="H173" i="58"/>
  <c r="M173" i="58"/>
  <c r="H168" i="60"/>
  <c r="F168" i="60"/>
  <c r="H152" i="58"/>
  <c r="N152" i="58"/>
  <c r="H136" i="58"/>
  <c r="H112" i="60"/>
  <c r="F112" i="60"/>
  <c r="H111" i="60"/>
  <c r="F111" i="60"/>
  <c r="H110" i="60"/>
  <c r="F110" i="60"/>
  <c r="H80" i="60"/>
  <c r="F80" i="60"/>
  <c r="H76" i="60"/>
  <c r="H75" i="60"/>
  <c r="F75" i="60"/>
  <c r="H73" i="58"/>
  <c r="H57" i="60"/>
  <c r="F57" i="60"/>
  <c r="H55" i="60"/>
  <c r="F55" i="60"/>
  <c r="H50" i="60"/>
  <c r="F50" i="60"/>
  <c r="H49" i="60"/>
  <c r="F49" i="60"/>
  <c r="H48" i="60"/>
  <c r="F48" i="60"/>
  <c r="H47" i="60"/>
  <c r="F47" i="60"/>
  <c r="H42" i="60"/>
  <c r="H40" i="60"/>
  <c r="F40" i="60"/>
  <c r="H33" i="60"/>
  <c r="F33" i="60"/>
  <c r="H29" i="60"/>
  <c r="F29" i="60"/>
  <c r="H21" i="60"/>
  <c r="F21" i="60"/>
  <c r="H126" i="58"/>
  <c r="G126" i="60"/>
  <c r="K126" i="59"/>
  <c r="H106" i="60"/>
  <c r="G106" i="60"/>
  <c r="H105" i="58"/>
  <c r="G105" i="60"/>
  <c r="K105" i="59"/>
  <c r="H104" i="58"/>
  <c r="H98" i="60"/>
  <c r="F98" i="60"/>
  <c r="N98" i="58"/>
  <c r="H92" i="60"/>
  <c r="F92" i="60"/>
  <c r="H71" i="58"/>
  <c r="M71" i="58"/>
  <c r="H7" i="58"/>
  <c r="H6" i="58"/>
  <c r="H4" i="58"/>
  <c r="H3" i="58"/>
  <c r="N1" i="58"/>
  <c r="H189" i="60"/>
  <c r="F189" i="60"/>
  <c r="H182" i="60"/>
  <c r="F182" i="60"/>
  <c r="H182" i="58"/>
  <c r="H181" i="58"/>
  <c r="H174" i="58"/>
  <c r="M174" i="58"/>
  <c r="H167" i="60"/>
  <c r="F167" i="60"/>
  <c r="H160" i="58"/>
  <c r="G160" i="60"/>
  <c r="K160" i="59"/>
  <c r="H143" i="60"/>
  <c r="H134" i="60"/>
  <c r="F134" i="60"/>
  <c r="H133" i="60"/>
  <c r="F133" i="60"/>
  <c r="H122" i="58"/>
  <c r="G122" i="60"/>
  <c r="H121" i="58"/>
  <c r="N121" i="58"/>
  <c r="H116" i="58"/>
  <c r="N116" i="58"/>
  <c r="H115" i="58"/>
  <c r="H111" i="58"/>
  <c r="H110" i="58"/>
  <c r="H95" i="60"/>
  <c r="F95" i="60"/>
  <c r="H95" i="58"/>
  <c r="H94" i="58"/>
  <c r="N94" i="58"/>
  <c r="H89" i="60"/>
  <c r="F89" i="60"/>
  <c r="H89" i="58"/>
  <c r="H88" i="58"/>
  <c r="H83" i="58"/>
  <c r="G83" i="60"/>
  <c r="K83" i="59"/>
  <c r="H78" i="60"/>
  <c r="F78" i="60"/>
  <c r="H74" i="60"/>
  <c r="F74" i="60"/>
  <c r="H69" i="60"/>
  <c r="H67" i="58"/>
  <c r="H66" i="58"/>
  <c r="H64" i="58"/>
  <c r="N64" i="58"/>
  <c r="H63" i="58"/>
  <c r="H50" i="58"/>
  <c r="N50" i="58"/>
  <c r="H48" i="58"/>
  <c r="H47" i="58"/>
  <c r="H45" i="58"/>
  <c r="H40" i="58"/>
  <c r="M40" i="58"/>
  <c r="H25" i="60"/>
  <c r="F25" i="60"/>
  <c r="H24" i="60"/>
  <c r="F24" i="60"/>
  <c r="H15" i="58"/>
  <c r="G15" i="60"/>
  <c r="K15" i="59"/>
  <c r="H10" i="60"/>
  <c r="F10" i="60"/>
  <c r="N5" i="58"/>
  <c r="M228" i="58"/>
  <c r="N228" i="58"/>
  <c r="G14" i="62"/>
  <c r="E14" i="62"/>
  <c r="N221" i="58"/>
  <c r="N229" i="58"/>
  <c r="M229" i="58"/>
  <c r="G199" i="58"/>
  <c r="G203" i="58"/>
  <c r="BA193" i="58"/>
  <c r="N226" i="58"/>
  <c r="G12" i="62"/>
  <c r="D18" i="62"/>
  <c r="G128" i="60"/>
  <c r="K128" i="59"/>
  <c r="K128" i="60"/>
  <c r="L128" i="60"/>
  <c r="G142" i="60"/>
  <c r="K142" i="59"/>
  <c r="K142" i="60"/>
  <c r="M165" i="58"/>
  <c r="N165" i="58"/>
  <c r="G165" i="60"/>
  <c r="K165" i="59"/>
  <c r="M184" i="58"/>
  <c r="N184" i="58"/>
  <c r="F38" i="60"/>
  <c r="K186" i="60"/>
  <c r="L186" i="60"/>
  <c r="G186" i="60"/>
  <c r="K186" i="59"/>
  <c r="M180" i="58"/>
  <c r="N180" i="58"/>
  <c r="G180" i="60"/>
  <c r="K180" i="59"/>
  <c r="L176" i="59"/>
  <c r="D8" i="55"/>
  <c r="M188" i="58"/>
  <c r="N188" i="58"/>
  <c r="G188" i="60"/>
  <c r="K188" i="59"/>
  <c r="G178" i="60"/>
  <c r="K178" i="59"/>
  <c r="M178" i="58"/>
  <c r="N178" i="58"/>
  <c r="G168" i="60"/>
  <c r="G152" i="60"/>
  <c r="M152" i="58"/>
  <c r="M191" i="58"/>
  <c r="N191" i="58"/>
  <c r="M191" i="59"/>
  <c r="G191" i="60"/>
  <c r="M183" i="58"/>
  <c r="N183" i="58"/>
  <c r="G183" i="60"/>
  <c r="M177" i="58"/>
  <c r="N177" i="58"/>
  <c r="G177" i="60"/>
  <c r="K177" i="59"/>
  <c r="G173" i="60"/>
  <c r="K173" i="59"/>
  <c r="N173" i="58"/>
  <c r="G170" i="60"/>
  <c r="N170" i="58"/>
  <c r="M170" i="58"/>
  <c r="M167" i="58"/>
  <c r="M117" i="58"/>
  <c r="N117" i="58"/>
  <c r="G117" i="60"/>
  <c r="K190" i="59"/>
  <c r="G190" i="60"/>
  <c r="N186" i="58"/>
  <c r="K183" i="59"/>
  <c r="G182" i="60"/>
  <c r="K182" i="59"/>
  <c r="K176" i="59"/>
  <c r="G176" i="60"/>
  <c r="K170" i="59"/>
  <c r="K187" i="59"/>
  <c r="G187" i="60"/>
  <c r="N185" i="58"/>
  <c r="K179" i="59"/>
  <c r="G179" i="60"/>
  <c r="K171" i="59"/>
  <c r="M153" i="58"/>
  <c r="N153" i="58"/>
  <c r="M189" i="58"/>
  <c r="N189" i="58"/>
  <c r="G181" i="60"/>
  <c r="K181" i="59"/>
  <c r="M181" i="58"/>
  <c r="N181" i="58"/>
  <c r="L179" i="59"/>
  <c r="M179" i="59"/>
  <c r="G175" i="60"/>
  <c r="K175" i="59"/>
  <c r="M175" i="58"/>
  <c r="N175" i="58"/>
  <c r="M171" i="58"/>
  <c r="N171" i="58"/>
  <c r="G169" i="60"/>
  <c r="K169" i="59"/>
  <c r="N169" i="58"/>
  <c r="M169" i="58"/>
  <c r="G166" i="60"/>
  <c r="K166" i="59"/>
  <c r="N160" i="58"/>
  <c r="G158" i="60"/>
  <c r="K158" i="59"/>
  <c r="L158" i="59"/>
  <c r="G172" i="60"/>
  <c r="K172" i="59"/>
  <c r="L166" i="59"/>
  <c r="K166" i="60"/>
  <c r="G164" i="60"/>
  <c r="K164" i="59"/>
  <c r="G163" i="60"/>
  <c r="K163" i="59"/>
  <c r="G161" i="60"/>
  <c r="K161" i="59"/>
  <c r="M150" i="58"/>
  <c r="N150" i="58"/>
  <c r="G112" i="60"/>
  <c r="K112" i="59"/>
  <c r="M168" i="58"/>
  <c r="N168" i="58"/>
  <c r="N166" i="58"/>
  <c r="M164" i="58"/>
  <c r="M162" i="58"/>
  <c r="N162" i="58"/>
  <c r="G162" i="60"/>
  <c r="K162" i="59"/>
  <c r="M156" i="58"/>
  <c r="N156" i="58"/>
  <c r="G156" i="60"/>
  <c r="K152" i="59"/>
  <c r="M146" i="58"/>
  <c r="N146" i="58"/>
  <c r="G146" i="60"/>
  <c r="K146" i="59"/>
  <c r="N172" i="58"/>
  <c r="N163" i="58"/>
  <c r="M159" i="58"/>
  <c r="N159" i="58"/>
  <c r="G159" i="60"/>
  <c r="K159" i="59"/>
  <c r="N158" i="58"/>
  <c r="K156" i="59"/>
  <c r="G154" i="60"/>
  <c r="K154" i="59"/>
  <c r="M154" i="58"/>
  <c r="N154" i="58"/>
  <c r="M126" i="58"/>
  <c r="N126" i="58"/>
  <c r="N161" i="58"/>
  <c r="G157" i="60"/>
  <c r="K157" i="59"/>
  <c r="M157" i="58"/>
  <c r="N157" i="58"/>
  <c r="G155" i="60"/>
  <c r="K155" i="59"/>
  <c r="N149" i="58"/>
  <c r="M149" i="58"/>
  <c r="G149" i="60"/>
  <c r="K149" i="59"/>
  <c r="M147" i="58"/>
  <c r="N147" i="58"/>
  <c r="M138" i="58"/>
  <c r="M132" i="58"/>
  <c r="N132" i="58"/>
  <c r="G132" i="60"/>
  <c r="M127" i="58"/>
  <c r="N127" i="58"/>
  <c r="G127" i="60"/>
  <c r="K127" i="59"/>
  <c r="G125" i="60"/>
  <c r="K125" i="59"/>
  <c r="N125" i="58"/>
  <c r="K113" i="59"/>
  <c r="G113" i="60"/>
  <c r="M113" i="58"/>
  <c r="N113" i="58"/>
  <c r="M84" i="58"/>
  <c r="N84" i="58"/>
  <c r="H148" i="58"/>
  <c r="K148" i="60"/>
  <c r="H147" i="60"/>
  <c r="H145" i="58"/>
  <c r="G140" i="60"/>
  <c r="K140" i="59"/>
  <c r="M140" i="58"/>
  <c r="N140" i="58"/>
  <c r="K137" i="59"/>
  <c r="G137" i="60"/>
  <c r="G133" i="60"/>
  <c r="K133" i="59"/>
  <c r="M133" i="58"/>
  <c r="N133" i="58"/>
  <c r="K132" i="59"/>
  <c r="M125" i="58"/>
  <c r="K122" i="59"/>
  <c r="M143" i="58"/>
  <c r="N143" i="58"/>
  <c r="N142" i="58"/>
  <c r="M142" i="58"/>
  <c r="M135" i="58"/>
  <c r="N135" i="58"/>
  <c r="G135" i="60"/>
  <c r="K135" i="59"/>
  <c r="M122" i="58"/>
  <c r="M114" i="58"/>
  <c r="N114" i="58"/>
  <c r="G114" i="60"/>
  <c r="K114" i="59"/>
  <c r="N144" i="58"/>
  <c r="M139" i="58"/>
  <c r="N139" i="58"/>
  <c r="G136" i="60"/>
  <c r="K136" i="59"/>
  <c r="M136" i="58"/>
  <c r="N136" i="58"/>
  <c r="G134" i="60"/>
  <c r="K134" i="59"/>
  <c r="H151" i="58"/>
  <c r="M144" i="58"/>
  <c r="H141" i="58"/>
  <c r="K139" i="59"/>
  <c r="M134" i="58"/>
  <c r="K130" i="59"/>
  <c r="G130" i="60"/>
  <c r="N130" i="58"/>
  <c r="M118" i="58"/>
  <c r="N118" i="58"/>
  <c r="H129" i="60"/>
  <c r="H129" i="58"/>
  <c r="H124" i="60"/>
  <c r="H124" i="58"/>
  <c r="M119" i="58"/>
  <c r="M116" i="58"/>
  <c r="H115" i="60"/>
  <c r="M100" i="58"/>
  <c r="N100" i="58"/>
  <c r="N128" i="58"/>
  <c r="M112" i="58"/>
  <c r="N112" i="58"/>
  <c r="G110" i="60"/>
  <c r="K110" i="59"/>
  <c r="N110" i="58"/>
  <c r="M110" i="58"/>
  <c r="M108" i="58"/>
  <c r="N108" i="58"/>
  <c r="G108" i="60"/>
  <c r="K108" i="59"/>
  <c r="G104" i="60"/>
  <c r="K104" i="59"/>
  <c r="N104" i="58"/>
  <c r="M104" i="58"/>
  <c r="K99" i="59"/>
  <c r="G99" i="60"/>
  <c r="M123" i="58"/>
  <c r="N123" i="58"/>
  <c r="H121" i="60"/>
  <c r="N107" i="58"/>
  <c r="M107" i="58"/>
  <c r="G107" i="60"/>
  <c r="M91" i="58"/>
  <c r="N91" i="58"/>
  <c r="M121" i="58"/>
  <c r="M111" i="58"/>
  <c r="N111" i="58"/>
  <c r="G111" i="60"/>
  <c r="N105" i="58"/>
  <c r="M102" i="58"/>
  <c r="N102" i="58"/>
  <c r="G102" i="60"/>
  <c r="K102" i="59"/>
  <c r="M120" i="58"/>
  <c r="N120" i="58"/>
  <c r="G120" i="60"/>
  <c r="K120" i="59"/>
  <c r="G119" i="60"/>
  <c r="K119" i="59"/>
  <c r="K117" i="59"/>
  <c r="M115" i="58"/>
  <c r="N115" i="58"/>
  <c r="K107" i="59"/>
  <c r="G97" i="60"/>
  <c r="K97" i="59"/>
  <c r="M97" i="58"/>
  <c r="N97" i="58"/>
  <c r="M76" i="58"/>
  <c r="N76" i="58"/>
  <c r="N109" i="58"/>
  <c r="G96" i="60"/>
  <c r="G89" i="60"/>
  <c r="K89" i="59"/>
  <c r="M73" i="58"/>
  <c r="N73" i="58"/>
  <c r="K101" i="59"/>
  <c r="G101" i="60"/>
  <c r="K96" i="59"/>
  <c r="G95" i="60"/>
  <c r="K95" i="59"/>
  <c r="G77" i="60"/>
  <c r="K77" i="59"/>
  <c r="N106" i="58"/>
  <c r="H103" i="58"/>
  <c r="H100" i="60"/>
  <c r="M93" i="58"/>
  <c r="N93" i="58"/>
  <c r="G93" i="60"/>
  <c r="K93" i="59"/>
  <c r="H109" i="60"/>
  <c r="H103" i="60"/>
  <c r="G98" i="60"/>
  <c r="K98" i="59"/>
  <c r="G88" i="60"/>
  <c r="K88" i="59"/>
  <c r="M88" i="58"/>
  <c r="N88" i="58"/>
  <c r="M86" i="58"/>
  <c r="N86" i="58"/>
  <c r="M99" i="58"/>
  <c r="N99" i="58"/>
  <c r="M94" i="58"/>
  <c r="N90" i="58"/>
  <c r="M90" i="58"/>
  <c r="M82" i="58"/>
  <c r="N82" i="58"/>
  <c r="M68" i="58"/>
  <c r="N68" i="58"/>
  <c r="G68" i="60"/>
  <c r="K68" i="59"/>
  <c r="M80" i="58"/>
  <c r="H79" i="60"/>
  <c r="M74" i="58"/>
  <c r="G87" i="60"/>
  <c r="K87" i="59"/>
  <c r="G78" i="60"/>
  <c r="K78" i="59"/>
  <c r="M78" i="58"/>
  <c r="N78" i="58"/>
  <c r="M66" i="58"/>
  <c r="N66" i="58"/>
  <c r="K85" i="59"/>
  <c r="G85" i="60"/>
  <c r="M77" i="58"/>
  <c r="G71" i="60"/>
  <c r="K71" i="59"/>
  <c r="N59" i="58"/>
  <c r="M59" i="58"/>
  <c r="G59" i="60"/>
  <c r="K59" i="59"/>
  <c r="N87" i="58"/>
  <c r="H81" i="58"/>
  <c r="H75" i="58"/>
  <c r="M85" i="58"/>
  <c r="N83" i="58"/>
  <c r="H79" i="58"/>
  <c r="M69" i="58"/>
  <c r="N69" i="58"/>
  <c r="M62" i="58"/>
  <c r="N62" i="58"/>
  <c r="G62" i="60"/>
  <c r="K62" i="59"/>
  <c r="G61" i="60"/>
  <c r="K61" i="59"/>
  <c r="M61" i="58"/>
  <c r="N61" i="58"/>
  <c r="N58" i="58"/>
  <c r="M58" i="58"/>
  <c r="G58" i="60"/>
  <c r="K58" i="59"/>
  <c r="G57" i="60"/>
  <c r="G53" i="60"/>
  <c r="N53" i="58"/>
  <c r="H70" i="58"/>
  <c r="K65" i="59"/>
  <c r="M53" i="58"/>
  <c r="G67" i="60"/>
  <c r="K67" i="59"/>
  <c r="M67" i="58"/>
  <c r="N67" i="58"/>
  <c r="H66" i="60"/>
  <c r="M63" i="58"/>
  <c r="N63" i="58"/>
  <c r="H72" i="60"/>
  <c r="H72" i="58"/>
  <c r="G64" i="60"/>
  <c r="M64" i="58"/>
  <c r="H63" i="60"/>
  <c r="M60" i="58"/>
  <c r="N60" i="58"/>
  <c r="N80" i="58"/>
  <c r="N77" i="58"/>
  <c r="N74" i="58"/>
  <c r="M65" i="58"/>
  <c r="N65" i="58"/>
  <c r="G65" i="60"/>
  <c r="K64" i="59"/>
  <c r="G60" i="60"/>
  <c r="K60" i="59"/>
  <c r="G56" i="60"/>
  <c r="K56" i="59"/>
  <c r="N56" i="58"/>
  <c r="M51" i="58"/>
  <c r="N51" i="58"/>
  <c r="G51" i="60"/>
  <c r="K51" i="59"/>
  <c r="M55" i="58"/>
  <c r="K53" i="59"/>
  <c r="M54" i="58"/>
  <c r="N54" i="58"/>
  <c r="M54" i="59"/>
  <c r="G54" i="60"/>
  <c r="K54" i="59"/>
  <c r="G43" i="60"/>
  <c r="M43" i="58"/>
  <c r="N43" i="58"/>
  <c r="N55" i="58"/>
  <c r="M55" i="59"/>
  <c r="G52" i="60"/>
  <c r="K52" i="59"/>
  <c r="M52" i="58"/>
  <c r="M57" i="58"/>
  <c r="N57" i="58"/>
  <c r="G55" i="60"/>
  <c r="K55" i="59"/>
  <c r="M48" i="58"/>
  <c r="N48" i="58"/>
  <c r="N46" i="58"/>
  <c r="M46" i="58"/>
  <c r="M44" i="58"/>
  <c r="N44" i="58"/>
  <c r="M42" i="58"/>
  <c r="N42" i="58"/>
  <c r="K36" i="59"/>
  <c r="N49" i="58"/>
  <c r="G48" i="60"/>
  <c r="K48" i="59"/>
  <c r="G44" i="60"/>
  <c r="K44" i="59"/>
  <c r="N38" i="58"/>
  <c r="M38" i="58"/>
  <c r="G38" i="60"/>
  <c r="K38" i="59"/>
  <c r="H41" i="58"/>
  <c r="M45" i="58"/>
  <c r="N45" i="58"/>
  <c r="K43" i="59"/>
  <c r="H41" i="60"/>
  <c r="G40" i="60"/>
  <c r="K40" i="59"/>
  <c r="N40" i="58"/>
  <c r="G47" i="60"/>
  <c r="K47" i="59"/>
  <c r="M47" i="58"/>
  <c r="N47" i="58"/>
  <c r="H45" i="60"/>
  <c r="M26" i="58"/>
  <c r="N26" i="58"/>
  <c r="G26" i="60"/>
  <c r="K26" i="59"/>
  <c r="G23" i="60"/>
  <c r="K23" i="59"/>
  <c r="G29" i="60"/>
  <c r="K29" i="59"/>
  <c r="N25" i="58"/>
  <c r="M25" i="58"/>
  <c r="G25" i="60"/>
  <c r="K39" i="59"/>
  <c r="H37" i="58"/>
  <c r="G36" i="60"/>
  <c r="N35" i="58"/>
  <c r="H33" i="58"/>
  <c r="M31" i="58"/>
  <c r="N31" i="58"/>
  <c r="G31" i="60"/>
  <c r="M39" i="58"/>
  <c r="N39" i="58"/>
  <c r="G34" i="60"/>
  <c r="K34" i="59"/>
  <c r="M34" i="58"/>
  <c r="N34" i="58"/>
  <c r="K31" i="59"/>
  <c r="G30" i="60"/>
  <c r="K30" i="59"/>
  <c r="G28" i="60"/>
  <c r="K28" i="59"/>
  <c r="K25" i="59"/>
  <c r="N36" i="58"/>
  <c r="M36" i="58"/>
  <c r="N32" i="58"/>
  <c r="M32" i="58"/>
  <c r="M19" i="58"/>
  <c r="N19" i="58"/>
  <c r="M24" i="58"/>
  <c r="N24" i="58"/>
  <c r="G21" i="60"/>
  <c r="K21" i="59"/>
  <c r="M21" i="58"/>
  <c r="G19" i="60"/>
  <c r="K19" i="59"/>
  <c r="H22" i="58"/>
  <c r="G16" i="60"/>
  <c r="K16" i="59"/>
  <c r="M16" i="58"/>
  <c r="N16" i="58"/>
  <c r="M16" i="59"/>
  <c r="M29" i="58"/>
  <c r="N29" i="58"/>
  <c r="H27" i="60"/>
  <c r="H27" i="58"/>
  <c r="M23" i="58"/>
  <c r="N23" i="58"/>
  <c r="M20" i="58"/>
  <c r="M15" i="58"/>
  <c r="N15" i="58"/>
  <c r="M15" i="59"/>
  <c r="H18" i="58"/>
  <c r="G13" i="60"/>
  <c r="N13" i="58"/>
  <c r="H17" i="58"/>
  <c r="M13" i="58"/>
  <c r="H20" i="60"/>
  <c r="H17" i="60"/>
  <c r="K13" i="59"/>
  <c r="G11" i="60"/>
  <c r="K11" i="59"/>
  <c r="M11" i="58"/>
  <c r="N11" i="58"/>
  <c r="G6" i="60"/>
  <c r="M6" i="58"/>
  <c r="N6" i="58"/>
  <c r="M14" i="58"/>
  <c r="N14" i="58"/>
  <c r="G14" i="60"/>
  <c r="K14" i="59"/>
  <c r="G12" i="60"/>
  <c r="K12" i="59"/>
  <c r="M12" i="58"/>
  <c r="N12" i="58"/>
  <c r="M7" i="58"/>
  <c r="N7" i="58"/>
  <c r="G4" i="60"/>
  <c r="K4" i="59"/>
  <c r="N10" i="58"/>
  <c r="G9" i="60"/>
  <c r="K9" i="59"/>
  <c r="N9" i="58"/>
  <c r="M9" i="58"/>
  <c r="H7" i="60"/>
  <c r="G7" i="60"/>
  <c r="G3" i="60"/>
  <c r="M3" i="58"/>
  <c r="N3" i="58"/>
  <c r="K6" i="59"/>
  <c r="N8" i="58"/>
  <c r="H5" i="60"/>
  <c r="M5" i="58"/>
  <c r="M1" i="59"/>
  <c r="O1" i="58"/>
  <c r="O186" i="58"/>
  <c r="G194" i="58"/>
  <c r="M8" i="58"/>
  <c r="M4" i="58"/>
  <c r="N4" i="58"/>
  <c r="G196" i="58"/>
  <c r="AI22" i="56"/>
  <c r="O218" i="58"/>
  <c r="O11" i="58"/>
  <c r="O30" i="58"/>
  <c r="G74" i="60"/>
  <c r="M35" i="58"/>
  <c r="L35" i="59"/>
  <c r="K35" i="60"/>
  <c r="G35" i="60"/>
  <c r="K35" i="59"/>
  <c r="K81" i="59"/>
  <c r="F81" i="60"/>
  <c r="O64" i="58"/>
  <c r="N64" i="59"/>
  <c r="K80" i="59"/>
  <c r="M83" i="58"/>
  <c r="N71" i="58"/>
  <c r="G94" i="60"/>
  <c r="K94" i="59"/>
  <c r="M105" i="58"/>
  <c r="G116" i="60"/>
  <c r="K116" i="59"/>
  <c r="M160" i="58"/>
  <c r="K191" i="59"/>
  <c r="N95" i="58"/>
  <c r="M95" i="58"/>
  <c r="N195" i="58"/>
  <c r="N21" i="58"/>
  <c r="M1" i="60"/>
  <c r="N92" i="58"/>
  <c r="N20" i="58"/>
  <c r="K90" i="59"/>
  <c r="K90" i="60"/>
  <c r="F90" i="60"/>
  <c r="G90" i="60"/>
  <c r="K126" i="60"/>
  <c r="N52" i="58"/>
  <c r="G189" i="60"/>
  <c r="K189" i="59"/>
  <c r="K185" i="59"/>
  <c r="K106" i="59"/>
  <c r="L106" i="59"/>
  <c r="F106" i="60"/>
  <c r="K106" i="60"/>
  <c r="F42" i="60"/>
  <c r="G42" i="60"/>
  <c r="K42" i="59"/>
  <c r="L42" i="59"/>
  <c r="F150" i="60"/>
  <c r="G150" i="60"/>
  <c r="K150" i="59"/>
  <c r="L150" i="59"/>
  <c r="M150" i="59"/>
  <c r="K144" i="60"/>
  <c r="G144" i="60"/>
  <c r="K144" i="59"/>
  <c r="F144" i="60"/>
  <c r="O45" i="58"/>
  <c r="N45" i="59"/>
  <c r="O34" i="58"/>
  <c r="O19" i="58"/>
  <c r="O40" i="58"/>
  <c r="G73" i="60"/>
  <c r="N96" i="58"/>
  <c r="K111" i="59"/>
  <c r="G153" i="60"/>
  <c r="K153" i="59"/>
  <c r="L153" i="59"/>
  <c r="G174" i="60"/>
  <c r="K174" i="59"/>
  <c r="G185" i="60"/>
  <c r="F32" i="60"/>
  <c r="M50" i="58"/>
  <c r="K57" i="59"/>
  <c r="K73" i="59"/>
  <c r="G92" i="60"/>
  <c r="K92" i="59"/>
  <c r="G91" i="60"/>
  <c r="K91" i="59"/>
  <c r="G131" i="60"/>
  <c r="O133" i="58"/>
  <c r="N167" i="58"/>
  <c r="M167" i="59"/>
  <c r="N174" i="58"/>
  <c r="K185" i="60"/>
  <c r="L185" i="60"/>
  <c r="M89" i="58"/>
  <c r="N89" i="58"/>
  <c r="N182" i="58"/>
  <c r="M182" i="58"/>
  <c r="G46" i="60"/>
  <c r="K46" i="59"/>
  <c r="K46" i="60"/>
  <c r="F46" i="60"/>
  <c r="K84" i="60"/>
  <c r="O39" i="58"/>
  <c r="G50" i="60"/>
  <c r="K50" i="59"/>
  <c r="L50" i="59"/>
  <c r="K74" i="59"/>
  <c r="N122" i="58"/>
  <c r="K131" i="59"/>
  <c r="K168" i="59"/>
  <c r="G184" i="60"/>
  <c r="K184" i="59"/>
  <c r="F69" i="60"/>
  <c r="G69" i="60"/>
  <c r="K69" i="59"/>
  <c r="L69" i="59"/>
  <c r="G143" i="60"/>
  <c r="K143" i="59"/>
  <c r="F143" i="60"/>
  <c r="G76" i="60"/>
  <c r="K76" i="59"/>
  <c r="F76" i="60"/>
  <c r="G32" i="60"/>
  <c r="K32" i="59"/>
  <c r="L32" i="59"/>
  <c r="G80" i="60"/>
  <c r="N155" i="58"/>
  <c r="M155" i="58"/>
  <c r="N138" i="58"/>
  <c r="L98" i="59"/>
  <c r="L56" i="59"/>
  <c r="L172" i="59"/>
  <c r="L28" i="59"/>
  <c r="L161" i="59"/>
  <c r="L158" i="60"/>
  <c r="K158" i="60"/>
  <c r="L87" i="59"/>
  <c r="L30" i="59"/>
  <c r="L12" i="59"/>
  <c r="L29" i="59"/>
  <c r="G66" i="60"/>
  <c r="K66" i="59"/>
  <c r="F66" i="60"/>
  <c r="M106" i="59"/>
  <c r="L123" i="59"/>
  <c r="O47" i="58"/>
  <c r="M41" i="58"/>
  <c r="N41" i="58"/>
  <c r="O41" i="58"/>
  <c r="G41" i="60"/>
  <c r="K41" i="59"/>
  <c r="E11" i="56"/>
  <c r="L49" i="59"/>
  <c r="O60" i="58"/>
  <c r="F72" i="60"/>
  <c r="O67" i="58"/>
  <c r="L61" i="59"/>
  <c r="O75" i="58"/>
  <c r="G75" i="60"/>
  <c r="K75" i="59"/>
  <c r="M75" i="58"/>
  <c r="N75" i="58"/>
  <c r="L78" i="59"/>
  <c r="O94" i="58"/>
  <c r="O92" i="58"/>
  <c r="O98" i="58"/>
  <c r="O95" i="58"/>
  <c r="O106" i="58"/>
  <c r="N106" i="59"/>
  <c r="O76" i="58"/>
  <c r="O111" i="58"/>
  <c r="L111" i="59"/>
  <c r="O104" i="58"/>
  <c r="O134" i="58"/>
  <c r="O171" i="58"/>
  <c r="O185" i="58"/>
  <c r="L167" i="59"/>
  <c r="O178" i="58"/>
  <c r="M184" i="59"/>
  <c r="M370" i="59"/>
  <c r="O184" i="58"/>
  <c r="E5" i="56"/>
  <c r="D10" i="56"/>
  <c r="K10" i="60"/>
  <c r="L10" i="60"/>
  <c r="F20" i="60"/>
  <c r="L76" i="59"/>
  <c r="L118" i="59"/>
  <c r="M118" i="59"/>
  <c r="B4" i="55"/>
  <c r="G198" i="58"/>
  <c r="G205" i="58"/>
  <c r="H26" i="55"/>
  <c r="H27" i="55"/>
  <c r="G5" i="60"/>
  <c r="F5" i="60"/>
  <c r="K3" i="59"/>
  <c r="L6" i="59"/>
  <c r="M6" i="59"/>
  <c r="O28" i="58"/>
  <c r="E10" i="56"/>
  <c r="K7" i="59"/>
  <c r="F7" i="60"/>
  <c r="M10" i="59"/>
  <c r="E8" i="56"/>
  <c r="O12" i="58"/>
  <c r="L11" i="59"/>
  <c r="D8" i="56"/>
  <c r="O20" i="58"/>
  <c r="O13" i="58"/>
  <c r="N13" i="59"/>
  <c r="L23" i="59"/>
  <c r="L21" i="59"/>
  <c r="O24" i="58"/>
  <c r="L36" i="59"/>
  <c r="M36" i="59"/>
  <c r="G45" i="60"/>
  <c r="K45" i="59"/>
  <c r="F45" i="60"/>
  <c r="O38" i="58"/>
  <c r="L44" i="59"/>
  <c r="O46" i="58"/>
  <c r="O50" i="58"/>
  <c r="L65" i="59"/>
  <c r="M65" i="59"/>
  <c r="M81" i="58"/>
  <c r="N81" i="58"/>
  <c r="O81" i="58"/>
  <c r="K81" i="60"/>
  <c r="G81" i="60"/>
  <c r="O83" i="58"/>
  <c r="F79" i="60"/>
  <c r="O109" i="58"/>
  <c r="O73" i="58"/>
  <c r="O89" i="58"/>
  <c r="O121" i="58"/>
  <c r="L101" i="59"/>
  <c r="L136" i="59"/>
  <c r="L114" i="59"/>
  <c r="O131" i="58"/>
  <c r="O137" i="58"/>
  <c r="G147" i="60"/>
  <c r="K147" i="59"/>
  <c r="F147" i="60"/>
  <c r="O147" i="58"/>
  <c r="N147" i="59"/>
  <c r="L157" i="59"/>
  <c r="L164" i="59"/>
  <c r="L175" i="59"/>
  <c r="D16" i="56"/>
  <c r="L165" i="59"/>
  <c r="M165" i="59"/>
  <c r="D5" i="56"/>
  <c r="B22" i="62"/>
  <c r="D27" i="62"/>
  <c r="E18" i="62"/>
  <c r="L9" i="59"/>
  <c r="M88" i="59"/>
  <c r="L125" i="59"/>
  <c r="M125" i="59"/>
  <c r="L155" i="59"/>
  <c r="L160" i="59"/>
  <c r="P1" i="58"/>
  <c r="P75" i="58"/>
  <c r="N1" i="59"/>
  <c r="O4" i="58"/>
  <c r="N4" i="59"/>
  <c r="O9" i="58"/>
  <c r="O14" i="58"/>
  <c r="O32" i="58"/>
  <c r="O23" i="58"/>
  <c r="O31" i="58"/>
  <c r="O35" i="58"/>
  <c r="O36" i="58"/>
  <c r="O51" i="58"/>
  <c r="O74" i="58"/>
  <c r="O77" i="58"/>
  <c r="O80" i="58"/>
  <c r="O93" i="58"/>
  <c r="O96" i="58"/>
  <c r="O123" i="58"/>
  <c r="O102" i="58"/>
  <c r="N102" i="59"/>
  <c r="O87" i="58"/>
  <c r="O142" i="58"/>
  <c r="O135" i="58"/>
  <c r="O132" i="58"/>
  <c r="O159" i="58"/>
  <c r="O146" i="58"/>
  <c r="O156" i="58"/>
  <c r="O168" i="58"/>
  <c r="O153" i="58"/>
  <c r="O162" i="58"/>
  <c r="O170" i="58"/>
  <c r="O177" i="58"/>
  <c r="O183" i="58"/>
  <c r="O188" i="58"/>
  <c r="O195" i="58"/>
  <c r="O180" i="58"/>
  <c r="O226" i="58"/>
  <c r="N1" i="60"/>
  <c r="O228" i="58"/>
  <c r="O189" i="58"/>
  <c r="O158" i="58"/>
  <c r="O161" i="58"/>
  <c r="N161" i="59"/>
  <c r="O139" i="58"/>
  <c r="O130" i="58"/>
  <c r="O108" i="58"/>
  <c r="O128" i="58"/>
  <c r="O115" i="58"/>
  <c r="O97" i="58"/>
  <c r="O86" i="58"/>
  <c r="O82" i="58"/>
  <c r="O59" i="58"/>
  <c r="O85" i="58"/>
  <c r="N85" i="59"/>
  <c r="O53" i="58"/>
  <c r="N53" i="59"/>
  <c r="O65" i="58"/>
  <c r="O56" i="58"/>
  <c r="O52" i="58"/>
  <c r="O55" i="58"/>
  <c r="N55" i="59"/>
  <c r="O49" i="58"/>
  <c r="O155" i="58"/>
  <c r="O116" i="58"/>
  <c r="O112" i="58"/>
  <c r="O107" i="58"/>
  <c r="O101" i="58"/>
  <c r="O78" i="58"/>
  <c r="O66" i="58"/>
  <c r="O71" i="58"/>
  <c r="O69" i="58"/>
  <c r="N69" i="59"/>
  <c r="O62" i="58"/>
  <c r="N62" i="59"/>
  <c r="O61" i="58"/>
  <c r="O229" i="58"/>
  <c r="O191" i="58"/>
  <c r="N191" i="59"/>
  <c r="O117" i="58"/>
  <c r="O190" i="58"/>
  <c r="O176" i="58"/>
  <c r="O187" i="58"/>
  <c r="O179" i="58"/>
  <c r="O175" i="58"/>
  <c r="O166" i="58"/>
  <c r="O160" i="58"/>
  <c r="O172" i="58"/>
  <c r="O157" i="58"/>
  <c r="O149" i="58"/>
  <c r="O84" i="58"/>
  <c r="O122" i="58"/>
  <c r="O136" i="58"/>
  <c r="O118" i="58"/>
  <c r="O119" i="58"/>
  <c r="O165" i="58"/>
  <c r="O152" i="58"/>
  <c r="O182" i="58"/>
  <c r="O181" i="58"/>
  <c r="O150" i="58"/>
  <c r="O154" i="58"/>
  <c r="O138" i="58"/>
  <c r="O125" i="58"/>
  <c r="O120" i="58"/>
  <c r="M12" i="59"/>
  <c r="L14" i="59"/>
  <c r="O15" i="58"/>
  <c r="N15" i="59"/>
  <c r="L39" i="59"/>
  <c r="M39" i="59"/>
  <c r="N39" i="59"/>
  <c r="L31" i="59"/>
  <c r="M35" i="59"/>
  <c r="O26" i="58"/>
  <c r="M47" i="59"/>
  <c r="F41" i="60"/>
  <c r="O42" i="58"/>
  <c r="L54" i="59"/>
  <c r="O54" i="58"/>
  <c r="N54" i="59"/>
  <c r="L64" i="59"/>
  <c r="L53" i="59"/>
  <c r="M53" i="59"/>
  <c r="L71" i="59"/>
  <c r="O68" i="58"/>
  <c r="L90" i="59"/>
  <c r="M90" i="59"/>
  <c r="L99" i="59"/>
  <c r="M99" i="59"/>
  <c r="L88" i="59"/>
  <c r="O90" i="58"/>
  <c r="L91" i="59"/>
  <c r="O91" i="58"/>
  <c r="O100" i="58"/>
  <c r="L134" i="59"/>
  <c r="O144" i="58"/>
  <c r="O114" i="58"/>
  <c r="O113" i="58"/>
  <c r="L127" i="59"/>
  <c r="M127" i="59"/>
  <c r="L168" i="59"/>
  <c r="L166" i="60"/>
  <c r="L171" i="59"/>
  <c r="D7" i="56"/>
  <c r="L173" i="59"/>
  <c r="M173" i="59"/>
  <c r="O173" i="58"/>
  <c r="O174" i="58"/>
  <c r="L4" i="59"/>
  <c r="M4" i="59"/>
  <c r="P70" i="58"/>
  <c r="N70" i="58"/>
  <c r="G70" i="60"/>
  <c r="K70" i="59"/>
  <c r="O70" i="58"/>
  <c r="M70" i="58"/>
  <c r="F109" i="60"/>
  <c r="G121" i="60"/>
  <c r="K121" i="59"/>
  <c r="F121" i="60"/>
  <c r="L142" i="59"/>
  <c r="L142" i="60"/>
  <c r="L8" i="59"/>
  <c r="O3" i="58"/>
  <c r="M11" i="59"/>
  <c r="N11" i="59"/>
  <c r="K17" i="59"/>
  <c r="F17" i="60"/>
  <c r="O8" i="58"/>
  <c r="M9" i="59"/>
  <c r="O7" i="58"/>
  <c r="L7" i="59"/>
  <c r="M7" i="59"/>
  <c r="L13" i="59"/>
  <c r="M17" i="58"/>
  <c r="G17" i="60"/>
  <c r="O17" i="58"/>
  <c r="P17" i="58"/>
  <c r="N17" i="58"/>
  <c r="H193" i="58"/>
  <c r="O27" i="58"/>
  <c r="M27" i="58"/>
  <c r="G27" i="60"/>
  <c r="P27" i="58"/>
  <c r="N27" i="58"/>
  <c r="O16" i="58"/>
  <c r="N16" i="59"/>
  <c r="G22" i="60"/>
  <c r="K22" i="59"/>
  <c r="P22" i="58"/>
  <c r="O22" i="58"/>
  <c r="M22" i="58"/>
  <c r="N22" i="58"/>
  <c r="L19" i="59"/>
  <c r="O29" i="58"/>
  <c r="L34" i="59"/>
  <c r="G33" i="60"/>
  <c r="K33" i="59"/>
  <c r="P33" i="58"/>
  <c r="O33" i="58"/>
  <c r="M33" i="58"/>
  <c r="N33" i="58"/>
  <c r="L25" i="59"/>
  <c r="L47" i="59"/>
  <c r="O44" i="58"/>
  <c r="L57" i="59"/>
  <c r="O57" i="58"/>
  <c r="L60" i="59"/>
  <c r="O63" i="58"/>
  <c r="N63" i="59"/>
  <c r="P79" i="58"/>
  <c r="M79" i="58"/>
  <c r="N79" i="58"/>
  <c r="O79" i="58"/>
  <c r="G79" i="60"/>
  <c r="K79" i="59"/>
  <c r="L68" i="59"/>
  <c r="M68" i="59"/>
  <c r="L92" i="59"/>
  <c r="L93" i="59"/>
  <c r="L89" i="59"/>
  <c r="G109" i="60"/>
  <c r="K109" i="59"/>
  <c r="O105" i="58"/>
  <c r="L107" i="59"/>
  <c r="L119" i="59"/>
  <c r="O124" i="58"/>
  <c r="G124" i="60"/>
  <c r="K124" i="59"/>
  <c r="P124" i="58"/>
  <c r="M124" i="58"/>
  <c r="N124" i="58"/>
  <c r="M124" i="59"/>
  <c r="O99" i="58"/>
  <c r="P141" i="58"/>
  <c r="M141" i="58"/>
  <c r="D15" i="56"/>
  <c r="N141" i="58"/>
  <c r="G141" i="60"/>
  <c r="K141" i="59"/>
  <c r="O141" i="58"/>
  <c r="O143" i="58"/>
  <c r="L133" i="59"/>
  <c r="M133" i="59"/>
  <c r="N133" i="59"/>
  <c r="M140" i="59"/>
  <c r="O140" i="58"/>
  <c r="L130" i="59"/>
  <c r="O164" i="58"/>
  <c r="O126" i="58"/>
  <c r="L159" i="59"/>
  <c r="O163" i="58"/>
  <c r="M176" i="59"/>
  <c r="L24" i="59"/>
  <c r="M24" i="59"/>
  <c r="L80" i="59"/>
  <c r="L95" i="59"/>
  <c r="M91" i="59"/>
  <c r="L84" i="59"/>
  <c r="M171" i="59"/>
  <c r="E7" i="56"/>
  <c r="B6" i="55"/>
  <c r="B22" i="55"/>
  <c r="G214" i="58"/>
  <c r="M213" i="58"/>
  <c r="O5" i="58"/>
  <c r="O10" i="58"/>
  <c r="O6" i="58"/>
  <c r="P18" i="58"/>
  <c r="N18" i="58"/>
  <c r="M18" i="58"/>
  <c r="O18" i="58"/>
  <c r="G18" i="60"/>
  <c r="K18" i="59"/>
  <c r="L15" i="59"/>
  <c r="G20" i="60"/>
  <c r="K20" i="59"/>
  <c r="K27" i="59"/>
  <c r="F27" i="60"/>
  <c r="L16" i="59"/>
  <c r="O21" i="58"/>
  <c r="O25" i="58"/>
  <c r="G37" i="60"/>
  <c r="K37" i="59"/>
  <c r="O37" i="58"/>
  <c r="M37" i="58"/>
  <c r="P37" i="58"/>
  <c r="N37" i="58"/>
  <c r="L26" i="59"/>
  <c r="L46" i="59"/>
  <c r="O48" i="58"/>
  <c r="L52" i="59"/>
  <c r="L43" i="59"/>
  <c r="O43" i="58"/>
  <c r="G63" i="60"/>
  <c r="K63" i="59"/>
  <c r="F63" i="60"/>
  <c r="O58" i="58"/>
  <c r="N58" i="59"/>
  <c r="M61" i="59"/>
  <c r="L62" i="59"/>
  <c r="L59" i="59"/>
  <c r="M59" i="59"/>
  <c r="M78" i="59"/>
  <c r="L94" i="59"/>
  <c r="O88" i="58"/>
  <c r="L97" i="59"/>
  <c r="L105" i="59"/>
  <c r="O110" i="58"/>
  <c r="L112" i="59"/>
  <c r="L116" i="59"/>
  <c r="M116" i="59"/>
  <c r="L144" i="59"/>
  <c r="L131" i="59"/>
  <c r="L137" i="59"/>
  <c r="O127" i="58"/>
  <c r="N127" i="59"/>
  <c r="O167" i="58"/>
  <c r="O169" i="58"/>
  <c r="K179" i="60"/>
  <c r="L179" i="60"/>
  <c r="M179" i="60"/>
  <c r="L174" i="59"/>
  <c r="K176" i="60"/>
  <c r="L176" i="60"/>
  <c r="L139" i="59"/>
  <c r="M139" i="59"/>
  <c r="M135" i="59"/>
  <c r="M142" i="59"/>
  <c r="M142" i="60"/>
  <c r="L156" i="59"/>
  <c r="M156" i="59"/>
  <c r="M166" i="59"/>
  <c r="M166" i="60"/>
  <c r="L169" i="59"/>
  <c r="M169" i="59"/>
  <c r="L189" i="59"/>
  <c r="M189" i="59"/>
  <c r="L177" i="59"/>
  <c r="L363" i="59"/>
  <c r="L191" i="59"/>
  <c r="M188" i="59"/>
  <c r="L190" i="59"/>
  <c r="L120" i="59"/>
  <c r="M111" i="59"/>
  <c r="L104" i="59"/>
  <c r="L110" i="59"/>
  <c r="M128" i="59"/>
  <c r="M128" i="60"/>
  <c r="F124" i="60"/>
  <c r="M130" i="59"/>
  <c r="M136" i="59"/>
  <c r="M114" i="59"/>
  <c r="L135" i="59"/>
  <c r="P145" i="58"/>
  <c r="O145" i="58"/>
  <c r="N145" i="58"/>
  <c r="G145" i="60"/>
  <c r="K145" i="59"/>
  <c r="M145" i="58"/>
  <c r="O148" i="58"/>
  <c r="N148" i="58"/>
  <c r="P148" i="58"/>
  <c r="M148" i="58"/>
  <c r="G148" i="60"/>
  <c r="K148" i="59"/>
  <c r="L113" i="59"/>
  <c r="M113" i="59"/>
  <c r="L132" i="59"/>
  <c r="M157" i="59"/>
  <c r="L126" i="59"/>
  <c r="M126" i="59"/>
  <c r="L154" i="59"/>
  <c r="M154" i="59"/>
  <c r="M168" i="59"/>
  <c r="M160" i="59"/>
  <c r="M175" i="59"/>
  <c r="E16" i="56"/>
  <c r="L181" i="59"/>
  <c r="L367" i="59"/>
  <c r="M367" i="59"/>
  <c r="L187" i="59"/>
  <c r="L152" i="59"/>
  <c r="L188" i="59"/>
  <c r="D6" i="56"/>
  <c r="L85" i="59"/>
  <c r="L83" i="59"/>
  <c r="M83" i="59"/>
  <c r="L82" i="59"/>
  <c r="L86" i="59"/>
  <c r="G100" i="60"/>
  <c r="K100" i="59"/>
  <c r="F100" i="60"/>
  <c r="L108" i="59"/>
  <c r="M108" i="59"/>
  <c r="G115" i="60"/>
  <c r="K115" i="59"/>
  <c r="L115" i="59"/>
  <c r="M115" i="59"/>
  <c r="F115" i="60"/>
  <c r="O129" i="58"/>
  <c r="G129" i="60"/>
  <c r="P129" i="58"/>
  <c r="M129" i="58"/>
  <c r="D14" i="56"/>
  <c r="N129" i="58"/>
  <c r="O151" i="58"/>
  <c r="G151" i="60"/>
  <c r="K151" i="59"/>
  <c r="P151" i="58"/>
  <c r="N151" i="58"/>
  <c r="M151" i="58"/>
  <c r="M144" i="59"/>
  <c r="L140" i="59"/>
  <c r="L138" i="59"/>
  <c r="M158" i="59"/>
  <c r="M158" i="60"/>
  <c r="L162" i="59"/>
  <c r="M185" i="59"/>
  <c r="M185" i="60"/>
  <c r="M186" i="59"/>
  <c r="E6" i="56"/>
  <c r="L117" i="59"/>
  <c r="M117" i="59"/>
  <c r="M170" i="59"/>
  <c r="M183" i="59"/>
  <c r="M369" i="59"/>
  <c r="L178" i="59"/>
  <c r="L364" i="59"/>
  <c r="M364" i="59"/>
  <c r="E8" i="55"/>
  <c r="M180" i="59"/>
  <c r="M366" i="59"/>
  <c r="L184" i="59"/>
  <c r="L370" i="59"/>
  <c r="O221" i="58"/>
  <c r="P218" i="58"/>
  <c r="L40" i="59"/>
  <c r="L38" i="59"/>
  <c r="K38" i="60"/>
  <c r="D11" i="56"/>
  <c r="L48" i="59"/>
  <c r="L55" i="59"/>
  <c r="L51" i="59"/>
  <c r="M56" i="59"/>
  <c r="M74" i="59"/>
  <c r="M60" i="59"/>
  <c r="O72" i="58"/>
  <c r="M72" i="58"/>
  <c r="D12" i="56"/>
  <c r="G72" i="60"/>
  <c r="K72" i="59"/>
  <c r="P72" i="58"/>
  <c r="N72" i="58"/>
  <c r="L67" i="59"/>
  <c r="L58" i="59"/>
  <c r="M58" i="59"/>
  <c r="M87" i="59"/>
  <c r="L77" i="59"/>
  <c r="L74" i="59"/>
  <c r="F103" i="60"/>
  <c r="M93" i="59"/>
  <c r="O103" i="58"/>
  <c r="N103" i="59"/>
  <c r="M103" i="58"/>
  <c r="D13" i="56"/>
  <c r="G103" i="60"/>
  <c r="K103" i="59"/>
  <c r="P103" i="58"/>
  <c r="O103" i="59"/>
  <c r="N103" i="58"/>
  <c r="E13" i="56"/>
  <c r="L73" i="59"/>
  <c r="M73" i="59"/>
  <c r="L96" i="59"/>
  <c r="M76" i="59"/>
  <c r="L102" i="59"/>
  <c r="M102" i="59"/>
  <c r="M104" i="59"/>
  <c r="K129" i="59"/>
  <c r="F129" i="60"/>
  <c r="L122" i="59"/>
  <c r="L143" i="59"/>
  <c r="L149" i="59"/>
  <c r="L146" i="59"/>
  <c r="M146" i="59"/>
  <c r="L170" i="59"/>
  <c r="M177" i="59"/>
  <c r="M363" i="59"/>
  <c r="L183" i="59"/>
  <c r="L369" i="59"/>
  <c r="L163" i="59"/>
  <c r="M163" i="59"/>
  <c r="L180" i="59"/>
  <c r="L366" i="59"/>
  <c r="N207" i="58"/>
  <c r="N7" i="59"/>
  <c r="E12" i="56"/>
  <c r="N78" i="59"/>
  <c r="N128" i="59"/>
  <c r="N128" i="60"/>
  <c r="N168" i="59"/>
  <c r="N142" i="59"/>
  <c r="N142" i="60"/>
  <c r="L182" i="59"/>
  <c r="L368" i="59"/>
  <c r="E15" i="56"/>
  <c r="N114" i="59"/>
  <c r="N90" i="59"/>
  <c r="N157" i="59"/>
  <c r="F6" i="56"/>
  <c r="N61" i="59"/>
  <c r="G193" i="60"/>
  <c r="G195" i="60"/>
  <c r="P41" i="58"/>
  <c r="M368" i="59"/>
  <c r="N368" i="59"/>
  <c r="L106" i="60"/>
  <c r="E5" i="55"/>
  <c r="E20" i="56"/>
  <c r="N209" i="58"/>
  <c r="N210" i="58"/>
  <c r="N211" i="58"/>
  <c r="N167" i="59"/>
  <c r="K115" i="60"/>
  <c r="L115" i="60"/>
  <c r="M115" i="60"/>
  <c r="D4" i="56"/>
  <c r="N111" i="59"/>
  <c r="E4" i="56"/>
  <c r="N135" i="59"/>
  <c r="N93" i="59"/>
  <c r="N35" i="59"/>
  <c r="N35" i="60"/>
  <c r="N73" i="59"/>
  <c r="L35" i="60"/>
  <c r="L66" i="59"/>
  <c r="K66" i="60"/>
  <c r="L63" i="59"/>
  <c r="L20" i="59"/>
  <c r="K20" i="60"/>
  <c r="E31" i="56"/>
  <c r="L147" i="59"/>
  <c r="L45" i="59"/>
  <c r="P221" i="58"/>
  <c r="Q218" i="58"/>
  <c r="L121" i="59"/>
  <c r="K40" i="60"/>
  <c r="L40" i="60"/>
  <c r="M186" i="60"/>
  <c r="M207" i="58"/>
  <c r="N171" i="59"/>
  <c r="F7" i="56"/>
  <c r="K162" i="60"/>
  <c r="L162" i="60"/>
  <c r="K140" i="60"/>
  <c r="L140" i="60"/>
  <c r="M140" i="60"/>
  <c r="L145" i="59"/>
  <c r="M145" i="59"/>
  <c r="N145" i="59"/>
  <c r="O145" i="59"/>
  <c r="L15" i="60"/>
  <c r="M15" i="60"/>
  <c r="N15" i="60"/>
  <c r="K15" i="60"/>
  <c r="K159" i="60"/>
  <c r="L159" i="60"/>
  <c r="L57" i="60"/>
  <c r="K57" i="60"/>
  <c r="K34" i="60"/>
  <c r="L34" i="60"/>
  <c r="L70" i="59"/>
  <c r="K71" i="60"/>
  <c r="L71" i="60"/>
  <c r="M57" i="59"/>
  <c r="K14" i="60"/>
  <c r="L14" i="60"/>
  <c r="L101" i="60"/>
  <c r="K101" i="60"/>
  <c r="M101" i="59"/>
  <c r="K44" i="60"/>
  <c r="L44" i="60"/>
  <c r="M196" i="58"/>
  <c r="L75" i="59"/>
  <c r="K49" i="60"/>
  <c r="L49" i="60"/>
  <c r="K180" i="60"/>
  <c r="L180" i="60"/>
  <c r="K183" i="60"/>
  <c r="L183" i="60"/>
  <c r="M183" i="60"/>
  <c r="K153" i="60"/>
  <c r="L153" i="60"/>
  <c r="M97" i="59"/>
  <c r="K74" i="60"/>
  <c r="L74" i="60"/>
  <c r="M74" i="60"/>
  <c r="L38" i="60"/>
  <c r="K178" i="60"/>
  <c r="L178" i="60"/>
  <c r="K85" i="60"/>
  <c r="L85" i="60"/>
  <c r="M85" i="59"/>
  <c r="K188" i="60"/>
  <c r="L188" i="60"/>
  <c r="M188" i="60"/>
  <c r="M172" i="59"/>
  <c r="K116" i="60"/>
  <c r="L116" i="60"/>
  <c r="M116" i="60"/>
  <c r="K105" i="60"/>
  <c r="L105" i="60"/>
  <c r="K32" i="60"/>
  <c r="L32" i="60"/>
  <c r="N6" i="59"/>
  <c r="K24" i="60"/>
  <c r="L24" i="60"/>
  <c r="M24" i="60"/>
  <c r="N163" i="59"/>
  <c r="K130" i="60"/>
  <c r="L130" i="60"/>
  <c r="M130" i="60"/>
  <c r="M94" i="59"/>
  <c r="N57" i="59"/>
  <c r="K25" i="60"/>
  <c r="L25" i="60"/>
  <c r="K19" i="60"/>
  <c r="L19" i="60"/>
  <c r="L27" i="59"/>
  <c r="K173" i="60"/>
  <c r="L173" i="60"/>
  <c r="M173" i="60"/>
  <c r="K91" i="60"/>
  <c r="L91" i="60"/>
  <c r="M91" i="60"/>
  <c r="K88" i="60"/>
  <c r="L88" i="60"/>
  <c r="M88" i="60"/>
  <c r="M67" i="59"/>
  <c r="N67" i="59"/>
  <c r="N166" i="59"/>
  <c r="N166" i="60"/>
  <c r="N117" i="59"/>
  <c r="N116" i="59"/>
  <c r="N65" i="59"/>
  <c r="N180" i="59"/>
  <c r="N366" i="59"/>
  <c r="N159" i="59"/>
  <c r="K160" i="60"/>
  <c r="L160" i="60"/>
  <c r="M160" i="60"/>
  <c r="M40" i="59"/>
  <c r="K9" i="60"/>
  <c r="L9" i="60"/>
  <c r="M9" i="60"/>
  <c r="K136" i="60"/>
  <c r="L136" i="60"/>
  <c r="M136" i="60"/>
  <c r="K69" i="60"/>
  <c r="L69" i="60"/>
  <c r="K36" i="60"/>
  <c r="L36" i="60"/>
  <c r="M36" i="60"/>
  <c r="K11" i="60"/>
  <c r="L11" i="60"/>
  <c r="K118" i="60"/>
  <c r="L118" i="60"/>
  <c r="M118" i="60"/>
  <c r="M199" i="58"/>
  <c r="M193" i="58"/>
  <c r="K167" i="60"/>
  <c r="L167" i="60"/>
  <c r="M167" i="60"/>
  <c r="N167" i="60"/>
  <c r="N60" i="59"/>
  <c r="M44" i="59"/>
  <c r="L41" i="59"/>
  <c r="L103" i="59"/>
  <c r="D39" i="56"/>
  <c r="K42" i="60"/>
  <c r="L42" i="60"/>
  <c r="D37" i="56"/>
  <c r="L100" i="59"/>
  <c r="L148" i="59"/>
  <c r="L148" i="60"/>
  <c r="K174" i="60"/>
  <c r="L174" i="60"/>
  <c r="K112" i="60"/>
  <c r="L112" i="60"/>
  <c r="N124" i="59"/>
  <c r="O124" i="59"/>
  <c r="L13" i="60"/>
  <c r="K13" i="60"/>
  <c r="K99" i="60"/>
  <c r="L99" i="60"/>
  <c r="M99" i="60"/>
  <c r="K64" i="60"/>
  <c r="L64" i="60"/>
  <c r="N165" i="59"/>
  <c r="F5" i="56"/>
  <c r="M42" i="59"/>
  <c r="L123" i="60"/>
  <c r="K123" i="60"/>
  <c r="K67" i="60"/>
  <c r="L67" i="60"/>
  <c r="F8" i="55"/>
  <c r="K62" i="60"/>
  <c r="L62" i="60"/>
  <c r="L107" i="60"/>
  <c r="K107" i="60"/>
  <c r="K68" i="60"/>
  <c r="L68" i="60"/>
  <c r="M68" i="60"/>
  <c r="N183" i="59"/>
  <c r="N369" i="59"/>
  <c r="K163" i="60"/>
  <c r="L163" i="60"/>
  <c r="M163" i="60"/>
  <c r="K149" i="60"/>
  <c r="L149" i="60"/>
  <c r="K122" i="60"/>
  <c r="L122" i="60"/>
  <c r="E14" i="56"/>
  <c r="K58" i="60"/>
  <c r="L58" i="60"/>
  <c r="M58" i="60"/>
  <c r="N58" i="60"/>
  <c r="K55" i="60"/>
  <c r="L55" i="60"/>
  <c r="M55" i="60"/>
  <c r="N55" i="60"/>
  <c r="M180" i="60"/>
  <c r="L151" i="59"/>
  <c r="L82" i="60"/>
  <c r="K82" i="60"/>
  <c r="L187" i="60"/>
  <c r="M187" i="59"/>
  <c r="D32" i="56"/>
  <c r="K187" i="60"/>
  <c r="M159" i="59"/>
  <c r="L110" i="60"/>
  <c r="K110" i="60"/>
  <c r="M190" i="59"/>
  <c r="K190" i="60"/>
  <c r="L190" i="60"/>
  <c r="K177" i="60"/>
  <c r="L177" i="60"/>
  <c r="M177" i="60"/>
  <c r="K169" i="60"/>
  <c r="L169" i="60"/>
  <c r="M169" i="60"/>
  <c r="N169" i="59"/>
  <c r="M149" i="59"/>
  <c r="N149" i="59"/>
  <c r="K131" i="60"/>
  <c r="L131" i="60"/>
  <c r="M131" i="59"/>
  <c r="K43" i="60"/>
  <c r="L43" i="60"/>
  <c r="L46" i="60"/>
  <c r="L26" i="60"/>
  <c r="K26" i="60"/>
  <c r="M216" i="58"/>
  <c r="K80" i="60"/>
  <c r="L80" i="60"/>
  <c r="M14" i="59"/>
  <c r="N140" i="59"/>
  <c r="N99" i="59"/>
  <c r="M112" i="59"/>
  <c r="K92" i="60"/>
  <c r="L92" i="60"/>
  <c r="M92" i="59"/>
  <c r="M62" i="59"/>
  <c r="M43" i="59"/>
  <c r="N43" i="59"/>
  <c r="E9" i="56"/>
  <c r="L8" i="60"/>
  <c r="K8" i="60"/>
  <c r="L109" i="59"/>
  <c r="N113" i="59"/>
  <c r="K134" i="60"/>
  <c r="L134" i="60"/>
  <c r="M134" i="59"/>
  <c r="N68" i="59"/>
  <c r="K54" i="60"/>
  <c r="L54" i="60"/>
  <c r="M54" i="60"/>
  <c r="N54" i="60"/>
  <c r="K31" i="60"/>
  <c r="L31" i="60"/>
  <c r="N125" i="59"/>
  <c r="F13" i="56"/>
  <c r="N175" i="59"/>
  <c r="F16" i="56"/>
  <c r="F12" i="56"/>
  <c r="N115" i="59"/>
  <c r="N158" i="59"/>
  <c r="N158" i="60"/>
  <c r="F5" i="55"/>
  <c r="F20" i="56"/>
  <c r="O209" i="58"/>
  <c r="N36" i="59"/>
  <c r="N9" i="59"/>
  <c r="K155" i="60"/>
  <c r="L155" i="60"/>
  <c r="M155" i="59"/>
  <c r="N155" i="59"/>
  <c r="M31" i="59"/>
  <c r="K165" i="60"/>
  <c r="L165" i="60"/>
  <c r="M165" i="60"/>
  <c r="D31" i="56"/>
  <c r="D42" i="56"/>
  <c r="K175" i="60"/>
  <c r="L175" i="60"/>
  <c r="M175" i="60"/>
  <c r="K157" i="60"/>
  <c r="L157" i="60"/>
  <c r="M157" i="60"/>
  <c r="N157" i="60"/>
  <c r="N83" i="59"/>
  <c r="L81" i="59"/>
  <c r="N24" i="59"/>
  <c r="L23" i="60"/>
  <c r="K23" i="60"/>
  <c r="N12" i="59"/>
  <c r="N196" i="58"/>
  <c r="M8" i="59"/>
  <c r="K5" i="59"/>
  <c r="D34" i="56"/>
  <c r="M201" i="58"/>
  <c r="M200" i="58"/>
  <c r="N184" i="59"/>
  <c r="N370" i="59"/>
  <c r="N185" i="59"/>
  <c r="N134" i="59"/>
  <c r="F15" i="56"/>
  <c r="L111" i="60"/>
  <c r="M111" i="60"/>
  <c r="N111" i="60"/>
  <c r="K111" i="60"/>
  <c r="M82" i="59"/>
  <c r="M82" i="60"/>
  <c r="M69" i="59"/>
  <c r="M23" i="59"/>
  <c r="N23" i="59"/>
  <c r="K87" i="60"/>
  <c r="L87" i="60"/>
  <c r="M87" i="60"/>
  <c r="K28" i="60"/>
  <c r="L28" i="60"/>
  <c r="M28" i="59"/>
  <c r="K56" i="60"/>
  <c r="L56" i="60"/>
  <c r="M56" i="60"/>
  <c r="N186" i="59"/>
  <c r="M98" i="59"/>
  <c r="K98" i="60"/>
  <c r="L98" i="60"/>
  <c r="K77" i="60"/>
  <c r="L77" i="60"/>
  <c r="K152" i="60"/>
  <c r="L152" i="60"/>
  <c r="M152" i="59"/>
  <c r="L132" i="60"/>
  <c r="K132" i="60"/>
  <c r="L84" i="60"/>
  <c r="N178" i="59"/>
  <c r="N364" i="59"/>
  <c r="M75" i="59"/>
  <c r="M13" i="59"/>
  <c r="L72" i="59"/>
  <c r="K72" i="60"/>
  <c r="K154" i="60"/>
  <c r="L154" i="60"/>
  <c r="M154" i="60"/>
  <c r="L79" i="59"/>
  <c r="K47" i="60"/>
  <c r="L47" i="60"/>
  <c r="M47" i="60"/>
  <c r="M27" i="59"/>
  <c r="N27" i="59"/>
  <c r="M77" i="59"/>
  <c r="N154" i="59"/>
  <c r="N108" i="59"/>
  <c r="N201" i="58"/>
  <c r="M202" i="58"/>
  <c r="N104" i="59"/>
  <c r="F14" i="56"/>
  <c r="K161" i="60"/>
  <c r="L161" i="60"/>
  <c r="K170" i="60"/>
  <c r="L170" i="60"/>
  <c r="M170" i="60"/>
  <c r="K48" i="60"/>
  <c r="L48" i="60"/>
  <c r="M151" i="59"/>
  <c r="N151" i="59"/>
  <c r="K108" i="60"/>
  <c r="L108" i="60"/>
  <c r="M108" i="60"/>
  <c r="K86" i="60"/>
  <c r="L86" i="60"/>
  <c r="K181" i="60"/>
  <c r="L181" i="60"/>
  <c r="K135" i="60"/>
  <c r="L135" i="60"/>
  <c r="M135" i="60"/>
  <c r="N135" i="60"/>
  <c r="K104" i="60"/>
  <c r="L104" i="60"/>
  <c r="M104" i="60"/>
  <c r="K191" i="60"/>
  <c r="L191" i="60"/>
  <c r="M191" i="60"/>
  <c r="N191" i="60"/>
  <c r="M161" i="59"/>
  <c r="K150" i="60"/>
  <c r="L150" i="60"/>
  <c r="M150" i="60"/>
  <c r="M84" i="59"/>
  <c r="N84" i="59"/>
  <c r="L144" i="60"/>
  <c r="M144" i="60"/>
  <c r="M80" i="59"/>
  <c r="N80" i="59"/>
  <c r="K52" i="60"/>
  <c r="L52" i="60"/>
  <c r="M52" i="59"/>
  <c r="L37" i="59"/>
  <c r="L18" i="59"/>
  <c r="M18" i="59"/>
  <c r="N18" i="59"/>
  <c r="K95" i="60"/>
  <c r="L95" i="60"/>
  <c r="M95" i="59"/>
  <c r="N126" i="59"/>
  <c r="K133" i="60"/>
  <c r="L133" i="60"/>
  <c r="M133" i="60"/>
  <c r="N133" i="60"/>
  <c r="L119" i="60"/>
  <c r="M119" i="59"/>
  <c r="K119" i="60"/>
  <c r="M105" i="59"/>
  <c r="M26" i="59"/>
  <c r="N8" i="59"/>
  <c r="M48" i="59"/>
  <c r="K4" i="60"/>
  <c r="L4" i="60"/>
  <c r="M4" i="60"/>
  <c r="N4" i="60"/>
  <c r="K171" i="60"/>
  <c r="L171" i="60"/>
  <c r="M171" i="60"/>
  <c r="D33" i="56"/>
  <c r="N144" i="59"/>
  <c r="N91" i="59"/>
  <c r="N42" i="59"/>
  <c r="F11" i="56"/>
  <c r="M34" i="59"/>
  <c r="N150" i="59"/>
  <c r="N118" i="59"/>
  <c r="N176" i="59"/>
  <c r="N362" i="59"/>
  <c r="N82" i="59"/>
  <c r="N82" i="60"/>
  <c r="N130" i="59"/>
  <c r="N177" i="59"/>
  <c r="N363" i="59"/>
  <c r="N156" i="59"/>
  <c r="N87" i="59"/>
  <c r="N77" i="59"/>
  <c r="O1" i="59"/>
  <c r="Q1" i="58"/>
  <c r="P5" i="58"/>
  <c r="P10" i="58"/>
  <c r="P29" i="58"/>
  <c r="P19" i="58"/>
  <c r="P39" i="58"/>
  <c r="P32" i="58"/>
  <c r="P36" i="58"/>
  <c r="O36" i="59"/>
  <c r="P57" i="58"/>
  <c r="P48" i="58"/>
  <c r="P52" i="58"/>
  <c r="P74" i="58"/>
  <c r="P83" i="58"/>
  <c r="P55" i="58"/>
  <c r="O55" i="59"/>
  <c r="P123" i="58"/>
  <c r="P136" i="58"/>
  <c r="P143" i="58"/>
  <c r="P133" i="58"/>
  <c r="P157" i="58"/>
  <c r="O157" i="59"/>
  <c r="P150" i="58"/>
  <c r="P162" i="58"/>
  <c r="P185" i="58"/>
  <c r="P154" i="58"/>
  <c r="P186" i="58"/>
  <c r="P166" i="58"/>
  <c r="P195" i="58"/>
  <c r="O1" i="60"/>
  <c r="P226" i="58"/>
  <c r="P229" i="58"/>
  <c r="P180" i="58"/>
  <c r="P181" i="58"/>
  <c r="P183" i="58"/>
  <c r="P153" i="58"/>
  <c r="P169" i="58"/>
  <c r="O169" i="59"/>
  <c r="P167" i="58"/>
  <c r="O167" i="59"/>
  <c r="P164" i="58"/>
  <c r="P163" i="58"/>
  <c r="P127" i="58"/>
  <c r="O127" i="59"/>
  <c r="P114" i="58"/>
  <c r="O114" i="59"/>
  <c r="P140" i="58"/>
  <c r="P116" i="58"/>
  <c r="P100" i="58"/>
  <c r="O100" i="59"/>
  <c r="P111" i="58"/>
  <c r="O111" i="59"/>
  <c r="P96" i="58"/>
  <c r="P89" i="58"/>
  <c r="P98" i="58"/>
  <c r="P78" i="58"/>
  <c r="P71" i="58"/>
  <c r="P61" i="58"/>
  <c r="O61" i="59"/>
  <c r="P51" i="58"/>
  <c r="P50" i="58"/>
  <c r="P44" i="58"/>
  <c r="P26" i="58"/>
  <c r="P152" i="58"/>
  <c r="P190" i="58"/>
  <c r="P176" i="58"/>
  <c r="P187" i="58"/>
  <c r="P179" i="58"/>
  <c r="P171" i="58"/>
  <c r="P113" i="58"/>
  <c r="P147" i="58"/>
  <c r="P144" i="58"/>
  <c r="P120" i="58"/>
  <c r="P88" i="58"/>
  <c r="P92" i="58"/>
  <c r="P86" i="58"/>
  <c r="P99" i="58"/>
  <c r="O99" i="59"/>
  <c r="P82" i="58"/>
  <c r="P68" i="58"/>
  <c r="P59" i="58"/>
  <c r="P69" i="58"/>
  <c r="O69" i="59"/>
  <c r="P228" i="58"/>
  <c r="P175" i="58"/>
  <c r="P188" i="58"/>
  <c r="P117" i="58"/>
  <c r="P155" i="58"/>
  <c r="P132" i="58"/>
  <c r="P142" i="58"/>
  <c r="O142" i="59"/>
  <c r="O142" i="60"/>
  <c r="P135" i="58"/>
  <c r="O135" i="59"/>
  <c r="P139" i="58"/>
  <c r="P107" i="58"/>
  <c r="P115" i="58"/>
  <c r="P177" i="58"/>
  <c r="P173" i="58"/>
  <c r="P170" i="58"/>
  <c r="P156" i="58"/>
  <c r="P146" i="58"/>
  <c r="P126" i="58"/>
  <c r="P149" i="58"/>
  <c r="P137" i="58"/>
  <c r="P131" i="58"/>
  <c r="P161" i="58"/>
  <c r="P160" i="58"/>
  <c r="P159" i="58"/>
  <c r="P94" i="58"/>
  <c r="P73" i="58"/>
  <c r="O73" i="59"/>
  <c r="P109" i="58"/>
  <c r="P67" i="58"/>
  <c r="P64" i="58"/>
  <c r="P45" i="58"/>
  <c r="P40" i="58"/>
  <c r="P34" i="58"/>
  <c r="P30" i="58"/>
  <c r="P20" i="58"/>
  <c r="P7" i="58"/>
  <c r="O7" i="59"/>
  <c r="P3" i="58"/>
  <c r="P8" i="58"/>
  <c r="P138" i="58"/>
  <c r="P90" i="58"/>
  <c r="P63" i="58"/>
  <c r="O63" i="59"/>
  <c r="P191" i="58"/>
  <c r="P172" i="58"/>
  <c r="P125" i="58"/>
  <c r="P84" i="58"/>
  <c r="P134" i="58"/>
  <c r="P104" i="58"/>
  <c r="P121" i="58"/>
  <c r="P101" i="58"/>
  <c r="P62" i="58"/>
  <c r="P77" i="58"/>
  <c r="P60" i="58"/>
  <c r="P46" i="58"/>
  <c r="P38" i="58"/>
  <c r="P35" i="58"/>
  <c r="P21" i="58"/>
  <c r="P15" i="58"/>
  <c r="P4" i="58"/>
  <c r="O4" i="59"/>
  <c r="P110" i="58"/>
  <c r="P165" i="58"/>
  <c r="P182" i="58"/>
  <c r="P158" i="58"/>
  <c r="P118" i="58"/>
  <c r="O118" i="59"/>
  <c r="P128" i="58"/>
  <c r="O128" i="59"/>
  <c r="O128" i="60"/>
  <c r="P76" i="58"/>
  <c r="P87" i="58"/>
  <c r="P53" i="58"/>
  <c r="O53" i="59"/>
  <c r="P80" i="58"/>
  <c r="P31" i="58"/>
  <c r="P13" i="58"/>
  <c r="O13" i="59"/>
  <c r="P6" i="58"/>
  <c r="P12" i="58"/>
  <c r="P122" i="58"/>
  <c r="P119" i="58"/>
  <c r="P106" i="58"/>
  <c r="P65" i="58"/>
  <c r="P56" i="58"/>
  <c r="P54" i="58"/>
  <c r="O54" i="59"/>
  <c r="P28" i="58"/>
  <c r="P184" i="58"/>
  <c r="P189" i="58"/>
  <c r="P178" i="58"/>
  <c r="P168" i="58"/>
  <c r="P108" i="58"/>
  <c r="P91" i="58"/>
  <c r="P97" i="58"/>
  <c r="P95" i="58"/>
  <c r="P93" i="58"/>
  <c r="O93" i="59"/>
  <c r="P58" i="58"/>
  <c r="P43" i="58"/>
  <c r="P42" i="58"/>
  <c r="P16" i="58"/>
  <c r="P25" i="58"/>
  <c r="P11" i="58"/>
  <c r="P66" i="58"/>
  <c r="P49" i="58"/>
  <c r="P23" i="58"/>
  <c r="P24" i="58"/>
  <c r="P174" i="58"/>
  <c r="P130" i="58"/>
  <c r="P112" i="58"/>
  <c r="P102" i="58"/>
  <c r="P85" i="58"/>
  <c r="O85" i="59"/>
  <c r="P47" i="58"/>
  <c r="P14" i="58"/>
  <c r="P9" i="58"/>
  <c r="O9" i="59"/>
  <c r="P105" i="58"/>
  <c r="K125" i="60"/>
  <c r="L125" i="60"/>
  <c r="M125" i="60"/>
  <c r="K164" i="60"/>
  <c r="L164" i="60"/>
  <c r="M164" i="59"/>
  <c r="K114" i="60"/>
  <c r="L114" i="60"/>
  <c r="M114" i="60"/>
  <c r="N114" i="60"/>
  <c r="P81" i="58"/>
  <c r="L65" i="60"/>
  <c r="M65" i="60"/>
  <c r="K65" i="60"/>
  <c r="M25" i="59"/>
  <c r="N25" i="59"/>
  <c r="K21" i="60"/>
  <c r="L21" i="60"/>
  <c r="M21" i="59"/>
  <c r="M10" i="60"/>
  <c r="E34" i="56"/>
  <c r="N202" i="58"/>
  <c r="N199" i="58"/>
  <c r="M32" i="59"/>
  <c r="M32" i="60"/>
  <c r="K193" i="59"/>
  <c r="B7" i="55"/>
  <c r="L3" i="59"/>
  <c r="M178" i="59"/>
  <c r="N76" i="59"/>
  <c r="M86" i="59"/>
  <c r="N86" i="59"/>
  <c r="K78" i="60"/>
  <c r="L78" i="60"/>
  <c r="M78" i="60"/>
  <c r="N78" i="60"/>
  <c r="K61" i="60"/>
  <c r="L61" i="60"/>
  <c r="M61" i="60"/>
  <c r="N61" i="60"/>
  <c r="N47" i="59"/>
  <c r="M106" i="60"/>
  <c r="L12" i="60"/>
  <c r="M12" i="60"/>
  <c r="K12" i="60"/>
  <c r="K97" i="60"/>
  <c r="L97" i="60"/>
  <c r="N10" i="59"/>
  <c r="F8" i="56"/>
  <c r="F9" i="56"/>
  <c r="M11" i="60"/>
  <c r="N11" i="60"/>
  <c r="N179" i="59"/>
  <c r="N365" i="59"/>
  <c r="N189" i="59"/>
  <c r="N188" i="59"/>
  <c r="N131" i="59"/>
  <c r="M194" i="58"/>
  <c r="K29" i="60"/>
  <c r="L29" i="60"/>
  <c r="K96" i="60"/>
  <c r="L96" i="60"/>
  <c r="M96" i="59"/>
  <c r="N96" i="59"/>
  <c r="M174" i="59"/>
  <c r="M174" i="60"/>
  <c r="K189" i="60"/>
  <c r="L189" i="60"/>
  <c r="M189" i="60"/>
  <c r="N88" i="59"/>
  <c r="K16" i="60"/>
  <c r="L16" i="60"/>
  <c r="M16" i="60"/>
  <c r="N16" i="60"/>
  <c r="M176" i="60"/>
  <c r="L141" i="59"/>
  <c r="M89" i="59"/>
  <c r="N89" i="59"/>
  <c r="K89" i="60"/>
  <c r="L89" i="60"/>
  <c r="K168" i="60"/>
  <c r="L168" i="60"/>
  <c r="M168" i="60"/>
  <c r="N168" i="60"/>
  <c r="N26" i="59"/>
  <c r="K39" i="60"/>
  <c r="L39" i="60"/>
  <c r="M39" i="60"/>
  <c r="N39" i="60"/>
  <c r="N119" i="59"/>
  <c r="N187" i="59"/>
  <c r="N101" i="59"/>
  <c r="N59" i="59"/>
  <c r="E27" i="62"/>
  <c r="G27" i="62"/>
  <c r="N200" i="58"/>
  <c r="K6" i="60"/>
  <c r="L6" i="60"/>
  <c r="M6" i="60"/>
  <c r="K76" i="60"/>
  <c r="L76" i="60"/>
  <c r="M76" i="60"/>
  <c r="N92" i="59"/>
  <c r="K172" i="60"/>
  <c r="L172" i="60"/>
  <c r="K102" i="60"/>
  <c r="L102" i="60"/>
  <c r="M102" i="60"/>
  <c r="N102" i="60"/>
  <c r="M72" i="59"/>
  <c r="N72" i="59"/>
  <c r="O72" i="59"/>
  <c r="M49" i="59"/>
  <c r="N49" i="59"/>
  <c r="L83" i="60"/>
  <c r="M83" i="60"/>
  <c r="K83" i="60"/>
  <c r="K146" i="60"/>
  <c r="L146" i="60"/>
  <c r="M146" i="60"/>
  <c r="K143" i="60"/>
  <c r="L143" i="60"/>
  <c r="K73" i="60"/>
  <c r="L73" i="60"/>
  <c r="M73" i="60"/>
  <c r="N73" i="60"/>
  <c r="M64" i="59"/>
  <c r="K51" i="60"/>
  <c r="L51" i="60"/>
  <c r="M46" i="59"/>
  <c r="N46" i="59"/>
  <c r="K184" i="60"/>
  <c r="L184" i="60"/>
  <c r="M184" i="60"/>
  <c r="K117" i="60"/>
  <c r="L117" i="60"/>
  <c r="M117" i="60"/>
  <c r="M153" i="59"/>
  <c r="N153" i="59"/>
  <c r="L138" i="60"/>
  <c r="M138" i="59"/>
  <c r="M143" i="59"/>
  <c r="L129" i="59"/>
  <c r="L126" i="60"/>
  <c r="M126" i="60"/>
  <c r="K113" i="60"/>
  <c r="L113" i="60"/>
  <c r="M113" i="60"/>
  <c r="M110" i="59"/>
  <c r="N110" i="59"/>
  <c r="M123" i="59"/>
  <c r="L120" i="60"/>
  <c r="K120" i="60"/>
  <c r="M181" i="59"/>
  <c r="N181" i="59"/>
  <c r="K156" i="60"/>
  <c r="L156" i="60"/>
  <c r="M156" i="60"/>
  <c r="M132" i="59"/>
  <c r="K139" i="60"/>
  <c r="L139" i="60"/>
  <c r="M139" i="60"/>
  <c r="M162" i="59"/>
  <c r="N162" i="59"/>
  <c r="K137" i="60"/>
  <c r="L137" i="60"/>
  <c r="M137" i="59"/>
  <c r="K94" i="60"/>
  <c r="L94" i="60"/>
  <c r="K59" i="60"/>
  <c r="L59" i="60"/>
  <c r="M59" i="60"/>
  <c r="N48" i="59"/>
  <c r="N164" i="59"/>
  <c r="L124" i="59"/>
  <c r="N105" i="59"/>
  <c r="K93" i="60"/>
  <c r="L93" i="60"/>
  <c r="M93" i="60"/>
  <c r="N93" i="60"/>
  <c r="K60" i="60"/>
  <c r="L60" i="60"/>
  <c r="M60" i="60"/>
  <c r="N44" i="59"/>
  <c r="L33" i="59"/>
  <c r="L22" i="59"/>
  <c r="L17" i="59"/>
  <c r="D9" i="56"/>
  <c r="O196" i="58"/>
  <c r="O194" i="58"/>
  <c r="O193" i="58"/>
  <c r="O201" i="58"/>
  <c r="O199" i="58"/>
  <c r="O200" i="58"/>
  <c r="O202" i="58"/>
  <c r="O207" i="58"/>
  <c r="F4" i="56"/>
  <c r="F10" i="56"/>
  <c r="M38" i="59"/>
  <c r="M38" i="60"/>
  <c r="N173" i="59"/>
  <c r="K127" i="60"/>
  <c r="L127" i="60"/>
  <c r="M127" i="60"/>
  <c r="N127" i="60"/>
  <c r="L90" i="60"/>
  <c r="M90" i="60"/>
  <c r="N90" i="60"/>
  <c r="K53" i="60"/>
  <c r="L53" i="60"/>
  <c r="M53" i="60"/>
  <c r="N53" i="60"/>
  <c r="M35" i="60"/>
  <c r="M19" i="59"/>
  <c r="N367" i="59"/>
  <c r="N136" i="59"/>
  <c r="N160" i="59"/>
  <c r="N190" i="59"/>
  <c r="N112" i="59"/>
  <c r="N56" i="59"/>
  <c r="N139" i="59"/>
  <c r="N170" i="59"/>
  <c r="N146" i="59"/>
  <c r="N74" i="59"/>
  <c r="N32" i="59"/>
  <c r="N32" i="60"/>
  <c r="K50" i="60"/>
  <c r="L50" i="60"/>
  <c r="M50" i="59"/>
  <c r="M120" i="59"/>
  <c r="M81" i="59"/>
  <c r="N81" i="59"/>
  <c r="M51" i="59"/>
  <c r="N51" i="59"/>
  <c r="N38" i="59"/>
  <c r="N38" i="60"/>
  <c r="M29" i="59"/>
  <c r="K7" i="60"/>
  <c r="L7" i="60"/>
  <c r="M7" i="60"/>
  <c r="N7" i="60"/>
  <c r="N194" i="58"/>
  <c r="N193" i="58"/>
  <c r="N28" i="59"/>
  <c r="M71" i="59"/>
  <c r="N71" i="59"/>
  <c r="E18" i="56"/>
  <c r="M122" i="59"/>
  <c r="N122" i="59"/>
  <c r="M107" i="59"/>
  <c r="N106" i="60"/>
  <c r="N94" i="59"/>
  <c r="N75" i="59"/>
  <c r="M41" i="59"/>
  <c r="N41" i="59"/>
  <c r="M30" i="59"/>
  <c r="K30" i="60"/>
  <c r="L30" i="60"/>
  <c r="O35" i="59"/>
  <c r="N86" i="60"/>
  <c r="M29" i="60"/>
  <c r="M103" i="59"/>
  <c r="N88" i="60"/>
  <c r="O90" i="59"/>
  <c r="O90" i="60"/>
  <c r="M57" i="60"/>
  <c r="N57" i="60"/>
  <c r="M26" i="60"/>
  <c r="N26" i="60"/>
  <c r="M31" i="60"/>
  <c r="M44" i="60"/>
  <c r="M86" i="60"/>
  <c r="M132" i="60"/>
  <c r="M123" i="60"/>
  <c r="O80" i="59"/>
  <c r="O80" i="60"/>
  <c r="O8" i="59"/>
  <c r="O92" i="59"/>
  <c r="O78" i="59"/>
  <c r="G9" i="56"/>
  <c r="M69" i="60"/>
  <c r="N69" i="60"/>
  <c r="M85" i="60"/>
  <c r="N85" i="60"/>
  <c r="N44" i="60"/>
  <c r="O91" i="59"/>
  <c r="M148" i="59"/>
  <c r="M148" i="60"/>
  <c r="M182" i="59"/>
  <c r="K182" i="60"/>
  <c r="L182" i="60"/>
  <c r="E42" i="56"/>
  <c r="M119" i="60"/>
  <c r="N119" i="60"/>
  <c r="O151" i="59"/>
  <c r="O41" i="59"/>
  <c r="Q221" i="58"/>
  <c r="R218" i="58"/>
  <c r="O18" i="59"/>
  <c r="B13" i="55"/>
  <c r="B9" i="55"/>
  <c r="O16" i="59"/>
  <c r="O167" i="60"/>
  <c r="N160" i="60"/>
  <c r="N173" i="60"/>
  <c r="K22" i="60"/>
  <c r="L22" i="60"/>
  <c r="K124" i="60"/>
  <c r="L124" i="60"/>
  <c r="M124" i="60"/>
  <c r="N124" i="60"/>
  <c r="O124" i="60"/>
  <c r="M143" i="60"/>
  <c r="N59" i="60"/>
  <c r="K141" i="60"/>
  <c r="L141" i="60"/>
  <c r="N47" i="60"/>
  <c r="K3" i="60"/>
  <c r="L3" i="60"/>
  <c r="M3" i="59"/>
  <c r="M21" i="60"/>
  <c r="O130" i="59"/>
  <c r="O11" i="59"/>
  <c r="O93" i="60"/>
  <c r="O178" i="59"/>
  <c r="O364" i="59"/>
  <c r="O65" i="59"/>
  <c r="O4" i="60"/>
  <c r="O60" i="59"/>
  <c r="O134" i="59"/>
  <c r="G15" i="56"/>
  <c r="O131" i="59"/>
  <c r="O170" i="59"/>
  <c r="O135" i="60"/>
  <c r="O175" i="59"/>
  <c r="G16" i="56"/>
  <c r="O147" i="59"/>
  <c r="O190" i="59"/>
  <c r="O61" i="60"/>
  <c r="O111" i="60"/>
  <c r="O163" i="59"/>
  <c r="O181" i="59"/>
  <c r="O367" i="59"/>
  <c r="O166" i="59"/>
  <c r="O157" i="60"/>
  <c r="O83" i="59"/>
  <c r="O32" i="59"/>
  <c r="P1" i="59"/>
  <c r="R1" i="58"/>
  <c r="Q5" i="58"/>
  <c r="Q10" i="58"/>
  <c r="Q11" i="58"/>
  <c r="Q12" i="58"/>
  <c r="Q13" i="58"/>
  <c r="P13" i="59"/>
  <c r="Q35" i="58"/>
  <c r="P35" i="59"/>
  <c r="Q20" i="58"/>
  <c r="Q28" i="58"/>
  <c r="Q49" i="58"/>
  <c r="Q50" i="58"/>
  <c r="Q52" i="58"/>
  <c r="Q55" i="58"/>
  <c r="P55" i="59"/>
  <c r="Q56" i="58"/>
  <c r="Q85" i="58"/>
  <c r="Q83" i="58"/>
  <c r="P83" i="59"/>
  <c r="Q95" i="58"/>
  <c r="Q89" i="58"/>
  <c r="Q98" i="58"/>
  <c r="Q109" i="58"/>
  <c r="Q101" i="58"/>
  <c r="Q121" i="58"/>
  <c r="Q104" i="58"/>
  <c r="Q110" i="58"/>
  <c r="Q92" i="58"/>
  <c r="P92" i="59"/>
  <c r="Q131" i="58"/>
  <c r="Q138" i="58"/>
  <c r="Q158" i="58"/>
  <c r="Q166" i="58"/>
  <c r="P166" i="59"/>
  <c r="Q172" i="58"/>
  <c r="Q134" i="58"/>
  <c r="Q169" i="58"/>
  <c r="P169" i="59"/>
  <c r="Q176" i="58"/>
  <c r="Q182" i="58"/>
  <c r="Q190" i="58"/>
  <c r="Q163" i="58"/>
  <c r="Q155" i="58"/>
  <c r="Q187" i="58"/>
  <c r="Q179" i="58"/>
  <c r="Q226" i="58"/>
  <c r="Q195" i="58"/>
  <c r="P1" i="60"/>
  <c r="Q188" i="58"/>
  <c r="Q173" i="58"/>
  <c r="Q181" i="58"/>
  <c r="Q161" i="58"/>
  <c r="Q154" i="58"/>
  <c r="Q132" i="58"/>
  <c r="Q113" i="58"/>
  <c r="Q142" i="58"/>
  <c r="P142" i="59"/>
  <c r="P142" i="60"/>
  <c r="Q135" i="58"/>
  <c r="P135" i="59"/>
  <c r="P135" i="60"/>
  <c r="Q137" i="58"/>
  <c r="Q120" i="58"/>
  <c r="Q94" i="58"/>
  <c r="Q68" i="58"/>
  <c r="Q58" i="58"/>
  <c r="Q63" i="58"/>
  <c r="P63" i="59"/>
  <c r="Q43" i="58"/>
  <c r="Q47" i="58"/>
  <c r="Q152" i="58"/>
  <c r="Q191" i="58"/>
  <c r="Q177" i="58"/>
  <c r="Q170" i="58"/>
  <c r="Q189" i="58"/>
  <c r="P189" i="59"/>
  <c r="Q156" i="58"/>
  <c r="Q126" i="58"/>
  <c r="Q139" i="58"/>
  <c r="Q118" i="58"/>
  <c r="Q107" i="58"/>
  <c r="Q97" i="58"/>
  <c r="Q76" i="58"/>
  <c r="Q93" i="58"/>
  <c r="P93" i="59"/>
  <c r="P93" i="60"/>
  <c r="Q59" i="58"/>
  <c r="Q229" i="58"/>
  <c r="Q165" i="58"/>
  <c r="Q167" i="58"/>
  <c r="P167" i="59"/>
  <c r="P167" i="60"/>
  <c r="Q171" i="58"/>
  <c r="Q133" i="58"/>
  <c r="Q122" i="58"/>
  <c r="Q119" i="58"/>
  <c r="Q112" i="58"/>
  <c r="Q91" i="58"/>
  <c r="Q105" i="58"/>
  <c r="Q174" i="58"/>
  <c r="Q175" i="58"/>
  <c r="Q160" i="58"/>
  <c r="Q150" i="58"/>
  <c r="P150" i="59"/>
  <c r="Q168" i="58"/>
  <c r="Q159" i="58"/>
  <c r="Q157" i="58"/>
  <c r="P157" i="59"/>
  <c r="P157" i="60"/>
  <c r="Q149" i="58"/>
  <c r="Q127" i="58"/>
  <c r="P127" i="59"/>
  <c r="Q114" i="58"/>
  <c r="P114" i="59"/>
  <c r="Q184" i="58"/>
  <c r="Q178" i="58"/>
  <c r="Q144" i="58"/>
  <c r="Q136" i="58"/>
  <c r="Q102" i="58"/>
  <c r="Q106" i="58"/>
  <c r="Q86" i="58"/>
  <c r="Q82" i="58"/>
  <c r="Q69" i="58"/>
  <c r="P69" i="59"/>
  <c r="Q65" i="58"/>
  <c r="P65" i="59"/>
  <c r="Q44" i="58"/>
  <c r="P44" i="59"/>
  <c r="Q42" i="58"/>
  <c r="Q23" i="58"/>
  <c r="Q96" i="58"/>
  <c r="Q73" i="58"/>
  <c r="Q57" i="58"/>
  <c r="Q162" i="58"/>
  <c r="Q125" i="58"/>
  <c r="Q143" i="58"/>
  <c r="Q111" i="58"/>
  <c r="Q78" i="58"/>
  <c r="P78" i="59"/>
  <c r="Q87" i="58"/>
  <c r="Q61" i="58"/>
  <c r="P61" i="59"/>
  <c r="Q53" i="58"/>
  <c r="P53" i="59"/>
  <c r="Q77" i="58"/>
  <c r="Q25" i="58"/>
  <c r="Q16" i="58"/>
  <c r="Q185" i="58"/>
  <c r="Q34" i="58"/>
  <c r="Q19" i="58"/>
  <c r="Q228" i="58"/>
  <c r="Q186" i="58"/>
  <c r="Q164" i="58"/>
  <c r="Q140" i="58"/>
  <c r="Q130" i="58"/>
  <c r="P130" i="59"/>
  <c r="Q116" i="58"/>
  <c r="Q128" i="58"/>
  <c r="P128" i="59"/>
  <c r="Q66" i="58"/>
  <c r="Q62" i="58"/>
  <c r="Q46" i="58"/>
  <c r="Q45" i="58"/>
  <c r="Q26" i="58"/>
  <c r="Q30" i="58"/>
  <c r="Q36" i="58"/>
  <c r="Q21" i="58"/>
  <c r="Q100" i="58"/>
  <c r="P100" i="59"/>
  <c r="Q7" i="58"/>
  <c r="Q9" i="58"/>
  <c r="Q180" i="58"/>
  <c r="Q146" i="58"/>
  <c r="P146" i="59"/>
  <c r="Q147" i="58"/>
  <c r="Q84" i="58"/>
  <c r="Q88" i="58"/>
  <c r="Q99" i="58"/>
  <c r="P99" i="59"/>
  <c r="Q71" i="58"/>
  <c r="Q64" i="58"/>
  <c r="Q74" i="58"/>
  <c r="Q54" i="58"/>
  <c r="Q48" i="58"/>
  <c r="Q38" i="58"/>
  <c r="Q40" i="58"/>
  <c r="Q31" i="58"/>
  <c r="Q39" i="58"/>
  <c r="Q32" i="58"/>
  <c r="Q15" i="58"/>
  <c r="Q14" i="58"/>
  <c r="Q6" i="58"/>
  <c r="Q3" i="58"/>
  <c r="Q8" i="58"/>
  <c r="P8" i="59"/>
  <c r="Q183" i="58"/>
  <c r="Q117" i="58"/>
  <c r="Q153" i="58"/>
  <c r="Q108" i="58"/>
  <c r="Q123" i="58"/>
  <c r="Q115" i="58"/>
  <c r="Q80" i="58"/>
  <c r="Q51" i="58"/>
  <c r="Q24" i="58"/>
  <c r="Q29" i="58"/>
  <c r="Q4" i="58"/>
  <c r="Q90" i="58"/>
  <c r="Q67" i="58"/>
  <c r="Q60" i="58"/>
  <c r="P60" i="59"/>
  <c r="Q18" i="58"/>
  <c r="Q37" i="58"/>
  <c r="Q129" i="58"/>
  <c r="Q41" i="58"/>
  <c r="Q17" i="58"/>
  <c r="Q124" i="58"/>
  <c r="Q75" i="58"/>
  <c r="Q81" i="58"/>
  <c r="P81" i="59"/>
  <c r="Q22" i="58"/>
  <c r="Q79" i="58"/>
  <c r="Q141" i="58"/>
  <c r="Q145" i="58"/>
  <c r="Q148" i="58"/>
  <c r="Q72" i="58"/>
  <c r="Q151" i="58"/>
  <c r="Q70" i="58"/>
  <c r="Q27" i="58"/>
  <c r="Q33" i="58"/>
  <c r="Q103" i="58"/>
  <c r="N150" i="60"/>
  <c r="M48" i="60"/>
  <c r="M95" i="60"/>
  <c r="M52" i="60"/>
  <c r="M161" i="60"/>
  <c r="N161" i="60"/>
  <c r="M77" i="60"/>
  <c r="M28" i="60"/>
  <c r="N28" i="60"/>
  <c r="M23" i="60"/>
  <c r="N23" i="60"/>
  <c r="N95" i="59"/>
  <c r="L5" i="59"/>
  <c r="D36" i="56"/>
  <c r="N83" i="60"/>
  <c r="N9" i="60"/>
  <c r="O9" i="60"/>
  <c r="O210" i="58"/>
  <c r="N175" i="60"/>
  <c r="D41" i="56"/>
  <c r="M112" i="60"/>
  <c r="L103" i="60"/>
  <c r="M103" i="60"/>
  <c r="N103" i="60"/>
  <c r="O103" i="60"/>
  <c r="K103" i="60"/>
  <c r="D3" i="55"/>
  <c r="M198" i="58"/>
  <c r="M205" i="58"/>
  <c r="I26" i="55"/>
  <c r="I27" i="55"/>
  <c r="M97" i="60"/>
  <c r="K75" i="60"/>
  <c r="L75" i="60"/>
  <c r="M75" i="60"/>
  <c r="N75" i="60"/>
  <c r="M101" i="60"/>
  <c r="N101" i="60"/>
  <c r="M147" i="59"/>
  <c r="K147" i="60"/>
  <c r="L147" i="60"/>
  <c r="L20" i="60"/>
  <c r="M20" i="59"/>
  <c r="L66" i="60"/>
  <c r="D38" i="56"/>
  <c r="M66" i="59"/>
  <c r="D4" i="55"/>
  <c r="D19" i="56"/>
  <c r="O24" i="59"/>
  <c r="O119" i="59"/>
  <c r="O62" i="59"/>
  <c r="O149" i="59"/>
  <c r="O171" i="59"/>
  <c r="G7" i="56"/>
  <c r="O116" i="59"/>
  <c r="N130" i="60"/>
  <c r="M34" i="60"/>
  <c r="N34" i="59"/>
  <c r="O34" i="59"/>
  <c r="M98" i="60"/>
  <c r="N140" i="60"/>
  <c r="M172" i="60"/>
  <c r="M120" i="60"/>
  <c r="M50" i="60"/>
  <c r="N74" i="60"/>
  <c r="N56" i="60"/>
  <c r="N136" i="60"/>
  <c r="O203" i="58"/>
  <c r="N143" i="59"/>
  <c r="N143" i="60"/>
  <c r="N48" i="60"/>
  <c r="M138" i="60"/>
  <c r="M64" i="60"/>
  <c r="N64" i="60"/>
  <c r="M49" i="60"/>
  <c r="N49" i="60"/>
  <c r="M70" i="59"/>
  <c r="N76" i="60"/>
  <c r="N203" i="58"/>
  <c r="O81" i="59"/>
  <c r="O25" i="59"/>
  <c r="O95" i="59"/>
  <c r="O189" i="59"/>
  <c r="O106" i="59"/>
  <c r="O15" i="59"/>
  <c r="O77" i="59"/>
  <c r="O84" i="59"/>
  <c r="G13" i="56"/>
  <c r="O73" i="60"/>
  <c r="O173" i="59"/>
  <c r="O173" i="60"/>
  <c r="O86" i="59"/>
  <c r="O86" i="60"/>
  <c r="O113" i="59"/>
  <c r="O152" i="59"/>
  <c r="O71" i="59"/>
  <c r="O164" i="59"/>
  <c r="O180" i="59"/>
  <c r="O366" i="59"/>
  <c r="O186" i="59"/>
  <c r="G6" i="56"/>
  <c r="O133" i="59"/>
  <c r="O74" i="59"/>
  <c r="O39" i="59"/>
  <c r="N177" i="60"/>
  <c r="K18" i="60"/>
  <c r="L18" i="60"/>
  <c r="M18" i="60"/>
  <c r="N18" i="60"/>
  <c r="M152" i="60"/>
  <c r="N184" i="60"/>
  <c r="M8" i="60"/>
  <c r="N8" i="60"/>
  <c r="O8" i="60"/>
  <c r="N24" i="60"/>
  <c r="N36" i="60"/>
  <c r="M17" i="59"/>
  <c r="M43" i="60"/>
  <c r="N43" i="60"/>
  <c r="N99" i="60"/>
  <c r="O99" i="60"/>
  <c r="M187" i="60"/>
  <c r="G8" i="55"/>
  <c r="M42" i="60"/>
  <c r="M100" i="59"/>
  <c r="M203" i="58"/>
  <c r="N123" i="59"/>
  <c r="N123" i="60"/>
  <c r="N97" i="59"/>
  <c r="N171" i="60"/>
  <c r="M121" i="59"/>
  <c r="K121" i="60"/>
  <c r="L121" i="60"/>
  <c r="M45" i="59"/>
  <c r="K45" i="60"/>
  <c r="L45" i="60"/>
  <c r="K100" i="60"/>
  <c r="L100" i="60"/>
  <c r="K79" i="60"/>
  <c r="L79" i="60"/>
  <c r="N112" i="60"/>
  <c r="O158" i="59"/>
  <c r="O158" i="60"/>
  <c r="O94" i="59"/>
  <c r="O78" i="60"/>
  <c r="E3" i="55"/>
  <c r="N198" i="58"/>
  <c r="N205" i="58"/>
  <c r="J26" i="55"/>
  <c r="N146" i="60"/>
  <c r="M25" i="60"/>
  <c r="N25" i="60"/>
  <c r="O85" i="60"/>
  <c r="O23" i="59"/>
  <c r="O42" i="59"/>
  <c r="G11" i="56"/>
  <c r="O28" i="59"/>
  <c r="O122" i="59"/>
  <c r="O53" i="60"/>
  <c r="O368" i="59"/>
  <c r="O35" i="60"/>
  <c r="O101" i="59"/>
  <c r="P196" i="58"/>
  <c r="P194" i="58"/>
  <c r="P193" i="58"/>
  <c r="P201" i="58"/>
  <c r="P207" i="58"/>
  <c r="P199" i="58"/>
  <c r="P200" i="58"/>
  <c r="P202" i="58"/>
  <c r="G10" i="56"/>
  <c r="G4" i="56"/>
  <c r="O45" i="59"/>
  <c r="O159" i="59"/>
  <c r="O126" i="59"/>
  <c r="O115" i="59"/>
  <c r="O155" i="59"/>
  <c r="O59" i="59"/>
  <c r="O59" i="60"/>
  <c r="O88" i="59"/>
  <c r="O88" i="60"/>
  <c r="O179" i="59"/>
  <c r="O365" i="59"/>
  <c r="O44" i="59"/>
  <c r="O44" i="60"/>
  <c r="O140" i="59"/>
  <c r="O140" i="60"/>
  <c r="O185" i="59"/>
  <c r="O136" i="59"/>
  <c r="O48" i="59"/>
  <c r="N77" i="60"/>
  <c r="N176" i="60"/>
  <c r="N91" i="60"/>
  <c r="O91" i="60"/>
  <c r="N174" i="59"/>
  <c r="N174" i="60"/>
  <c r="E33" i="56"/>
  <c r="M80" i="60"/>
  <c r="D40" i="56"/>
  <c r="N108" i="60"/>
  <c r="L72" i="60"/>
  <c r="M72" i="60"/>
  <c r="N72" i="60"/>
  <c r="O72" i="60"/>
  <c r="N186" i="60"/>
  <c r="F32" i="56"/>
  <c r="M155" i="60"/>
  <c r="N155" i="60"/>
  <c r="N132" i="59"/>
  <c r="N132" i="60"/>
  <c r="N152" i="59"/>
  <c r="N68" i="60"/>
  <c r="N113" i="60"/>
  <c r="M22" i="59"/>
  <c r="M92" i="60"/>
  <c r="N169" i="60"/>
  <c r="O169" i="60"/>
  <c r="M190" i="60"/>
  <c r="N190" i="60"/>
  <c r="M159" i="60"/>
  <c r="N159" i="60"/>
  <c r="K151" i="60"/>
  <c r="L151" i="60"/>
  <c r="M151" i="60"/>
  <c r="N151" i="60"/>
  <c r="N98" i="59"/>
  <c r="N116" i="60"/>
  <c r="M67" i="60"/>
  <c r="N67" i="60"/>
  <c r="M79" i="59"/>
  <c r="E32" i="56"/>
  <c r="K41" i="60"/>
  <c r="L41" i="60"/>
  <c r="M41" i="60"/>
  <c r="N41" i="60"/>
  <c r="K33" i="60"/>
  <c r="L33" i="60"/>
  <c r="M137" i="60"/>
  <c r="N10" i="60"/>
  <c r="O47" i="59"/>
  <c r="O125" i="59"/>
  <c r="O177" i="59"/>
  <c r="O363" i="59"/>
  <c r="O26" i="59"/>
  <c r="O154" i="59"/>
  <c r="E6" i="55"/>
  <c r="E22" i="55"/>
  <c r="N214" i="58"/>
  <c r="E21" i="56"/>
  <c r="M62" i="60"/>
  <c r="N62" i="60"/>
  <c r="M149" i="60"/>
  <c r="N149" i="60"/>
  <c r="M214" i="58"/>
  <c r="N213" i="58"/>
  <c r="D6" i="55"/>
  <c r="D22" i="55"/>
  <c r="D21" i="56"/>
  <c r="M63" i="59"/>
  <c r="K63" i="60"/>
  <c r="L63" i="60"/>
  <c r="M51" i="60"/>
  <c r="N51" i="60"/>
  <c r="M89" i="60"/>
  <c r="N89" i="60"/>
  <c r="M122" i="60"/>
  <c r="N122" i="60"/>
  <c r="N170" i="60"/>
  <c r="M46" i="60"/>
  <c r="N46" i="60"/>
  <c r="N187" i="60"/>
  <c r="M96" i="60"/>
  <c r="N96" i="60"/>
  <c r="N188" i="60"/>
  <c r="N179" i="60"/>
  <c r="B21" i="55"/>
  <c r="K196" i="59"/>
  <c r="O102" i="59"/>
  <c r="O49" i="59"/>
  <c r="O43" i="59"/>
  <c r="O108" i="59"/>
  <c r="O54" i="60"/>
  <c r="O12" i="59"/>
  <c r="O87" i="59"/>
  <c r="O165" i="59"/>
  <c r="G5" i="56"/>
  <c r="O38" i="59"/>
  <c r="O38" i="60"/>
  <c r="O191" i="59"/>
  <c r="O7" i="60"/>
  <c r="O64" i="59"/>
  <c r="O160" i="59"/>
  <c r="O160" i="60"/>
  <c r="O146" i="59"/>
  <c r="O117" i="59"/>
  <c r="O68" i="59"/>
  <c r="O187" i="59"/>
  <c r="O89" i="59"/>
  <c r="O114" i="60"/>
  <c r="O153" i="59"/>
  <c r="O162" i="59"/>
  <c r="O57" i="59"/>
  <c r="O10" i="59"/>
  <c r="G8" i="56"/>
  <c r="N87" i="60"/>
  <c r="N52" i="59"/>
  <c r="O52" i="59"/>
  <c r="N172" i="59"/>
  <c r="N144" i="60"/>
  <c r="O27" i="59"/>
  <c r="M105" i="60"/>
  <c r="N105" i="60"/>
  <c r="K37" i="60"/>
  <c r="L37" i="60"/>
  <c r="M13" i="60"/>
  <c r="N13" i="60"/>
  <c r="O13" i="60"/>
  <c r="M141" i="59"/>
  <c r="E41" i="56"/>
  <c r="N12" i="60"/>
  <c r="N115" i="60"/>
  <c r="N125" i="60"/>
  <c r="M109" i="59"/>
  <c r="M14" i="60"/>
  <c r="N21" i="59"/>
  <c r="N21" i="60"/>
  <c r="F18" i="56"/>
  <c r="F25" i="56"/>
  <c r="N50" i="59"/>
  <c r="N50" i="60"/>
  <c r="M94" i="60"/>
  <c r="N94" i="60"/>
  <c r="N31" i="59"/>
  <c r="N31" i="60"/>
  <c r="E25" i="56"/>
  <c r="K129" i="60"/>
  <c r="L129" i="60"/>
  <c r="K109" i="60"/>
  <c r="L109" i="60"/>
  <c r="O184" i="59"/>
  <c r="O184" i="60"/>
  <c r="O370" i="59"/>
  <c r="O69" i="60"/>
  <c r="M84" i="60"/>
  <c r="N84" i="60"/>
  <c r="E39" i="56"/>
  <c r="M40" i="60"/>
  <c r="N40" i="59"/>
  <c r="N40" i="60"/>
  <c r="N65" i="60"/>
  <c r="N163" i="60"/>
  <c r="K70" i="60"/>
  <c r="L70" i="60"/>
  <c r="M30" i="60"/>
  <c r="N30" i="59"/>
  <c r="M107" i="60"/>
  <c r="N181" i="60"/>
  <c r="F3" i="55"/>
  <c r="O198" i="58"/>
  <c r="O205" i="58"/>
  <c r="K26" i="55"/>
  <c r="E19" i="56"/>
  <c r="L194" i="60"/>
  <c r="E4" i="55"/>
  <c r="F4" i="55"/>
  <c r="F19" i="56"/>
  <c r="M194" i="60"/>
  <c r="D35" i="56"/>
  <c r="K17" i="60"/>
  <c r="L17" i="60"/>
  <c r="M110" i="60"/>
  <c r="N110" i="60"/>
  <c r="M153" i="60"/>
  <c r="N153" i="60"/>
  <c r="M71" i="60"/>
  <c r="N71" i="60"/>
  <c r="D18" i="56"/>
  <c r="N139" i="60"/>
  <c r="M19" i="60"/>
  <c r="N19" i="59"/>
  <c r="F6" i="55"/>
  <c r="F22" i="55"/>
  <c r="O214" i="58"/>
  <c r="F21" i="56"/>
  <c r="M162" i="60"/>
  <c r="N162" i="60"/>
  <c r="M181" i="60"/>
  <c r="N92" i="60"/>
  <c r="O92" i="60"/>
  <c r="N80" i="60"/>
  <c r="M129" i="59"/>
  <c r="N189" i="60"/>
  <c r="N138" i="59"/>
  <c r="M178" i="60"/>
  <c r="N178" i="60"/>
  <c r="M164" i="60"/>
  <c r="N164" i="60"/>
  <c r="O105" i="59"/>
  <c r="O112" i="59"/>
  <c r="G12" i="56"/>
  <c r="O58" i="59"/>
  <c r="O168" i="59"/>
  <c r="O56" i="59"/>
  <c r="O56" i="60"/>
  <c r="O6" i="59"/>
  <c r="O76" i="59"/>
  <c r="O110" i="59"/>
  <c r="O46" i="59"/>
  <c r="O104" i="59"/>
  <c r="G14" i="56"/>
  <c r="O67" i="59"/>
  <c r="O161" i="59"/>
  <c r="O156" i="59"/>
  <c r="O139" i="59"/>
  <c r="O188" i="59"/>
  <c r="O188" i="60"/>
  <c r="O82" i="59"/>
  <c r="O82" i="60"/>
  <c r="O144" i="59"/>
  <c r="O176" i="59"/>
  <c r="O362" i="59"/>
  <c r="O51" i="59"/>
  <c r="O96" i="59"/>
  <c r="O127" i="60"/>
  <c r="O183" i="59"/>
  <c r="O369" i="59"/>
  <c r="G5" i="55"/>
  <c r="P209" i="58"/>
  <c r="P210" i="58"/>
  <c r="P211" i="58"/>
  <c r="G20" i="56"/>
  <c r="O150" i="59"/>
  <c r="O150" i="60"/>
  <c r="O55" i="60"/>
  <c r="O36" i="60"/>
  <c r="N156" i="60"/>
  <c r="N107" i="59"/>
  <c r="N107" i="60"/>
  <c r="N118" i="60"/>
  <c r="O118" i="60"/>
  <c r="N42" i="60"/>
  <c r="N29" i="59"/>
  <c r="N126" i="60"/>
  <c r="M37" i="59"/>
  <c r="N104" i="60"/>
  <c r="N154" i="60"/>
  <c r="N185" i="60"/>
  <c r="L81" i="60"/>
  <c r="M81" i="60"/>
  <c r="N81" i="60"/>
  <c r="N137" i="59"/>
  <c r="N137" i="60"/>
  <c r="M134" i="60"/>
  <c r="N134" i="60"/>
  <c r="M33" i="59"/>
  <c r="M131" i="60"/>
  <c r="N131" i="60"/>
  <c r="N183" i="60"/>
  <c r="N165" i="60"/>
  <c r="F31" i="56"/>
  <c r="N60" i="60"/>
  <c r="N14" i="59"/>
  <c r="O14" i="59"/>
  <c r="N180" i="60"/>
  <c r="N117" i="60"/>
  <c r="N120" i="59"/>
  <c r="N120" i="60"/>
  <c r="N6" i="60"/>
  <c r="N148" i="59"/>
  <c r="K145" i="60"/>
  <c r="L145" i="60"/>
  <c r="M145" i="60"/>
  <c r="N145" i="60"/>
  <c r="O145" i="60"/>
  <c r="K27" i="60"/>
  <c r="L27" i="60"/>
  <c r="M27" i="60"/>
  <c r="N27" i="60"/>
  <c r="O75" i="59"/>
  <c r="O119" i="60"/>
  <c r="O125" i="60"/>
  <c r="N98" i="60"/>
  <c r="O101" i="60"/>
  <c r="P61" i="60"/>
  <c r="F7" i="55"/>
  <c r="F9" i="55"/>
  <c r="O64" i="60"/>
  <c r="J27" i="55"/>
  <c r="P80" i="59"/>
  <c r="O26" i="60"/>
  <c r="O132" i="59"/>
  <c r="O132" i="60"/>
  <c r="N29" i="60"/>
  <c r="O76" i="60"/>
  <c r="O112" i="60"/>
  <c r="O123" i="59"/>
  <c r="O123" i="60"/>
  <c r="O68" i="60"/>
  <c r="M63" i="60"/>
  <c r="N63" i="60"/>
  <c r="O63" i="60"/>
  <c r="N152" i="60"/>
  <c r="O152" i="60"/>
  <c r="O98" i="59"/>
  <c r="O98" i="60"/>
  <c r="O143" i="59"/>
  <c r="O143" i="60"/>
  <c r="O25" i="60"/>
  <c r="P64" i="59"/>
  <c r="P96" i="59"/>
  <c r="P159" i="59"/>
  <c r="P105" i="59"/>
  <c r="P76" i="59"/>
  <c r="P76" i="60"/>
  <c r="P156" i="59"/>
  <c r="P47" i="59"/>
  <c r="P95" i="59"/>
  <c r="P12" i="59"/>
  <c r="N182" i="59"/>
  <c r="M182" i="60"/>
  <c r="O57" i="60"/>
  <c r="F33" i="56"/>
  <c r="P108" i="59"/>
  <c r="P6" i="59"/>
  <c r="P71" i="59"/>
  <c r="P77" i="59"/>
  <c r="P86" i="59"/>
  <c r="P86" i="60"/>
  <c r="P43" i="59"/>
  <c r="P49" i="59"/>
  <c r="P11" i="59"/>
  <c r="D44" i="56"/>
  <c r="D47" i="56"/>
  <c r="P25" i="59"/>
  <c r="P154" i="59"/>
  <c r="O183" i="60"/>
  <c r="M129" i="60"/>
  <c r="N129" i="59"/>
  <c r="M109" i="60"/>
  <c r="N109" i="59"/>
  <c r="O146" i="60"/>
  <c r="P146" i="60"/>
  <c r="O165" i="60"/>
  <c r="G31" i="56"/>
  <c r="K194" i="60"/>
  <c r="P184" i="59"/>
  <c r="P184" i="60"/>
  <c r="P370" i="59"/>
  <c r="P161" i="59"/>
  <c r="P158" i="59"/>
  <c r="P158" i="60"/>
  <c r="O131" i="60"/>
  <c r="O16" i="60"/>
  <c r="N148" i="60"/>
  <c r="O148" i="59"/>
  <c r="N14" i="60"/>
  <c r="O14" i="60"/>
  <c r="M33" i="60"/>
  <c r="N33" i="59"/>
  <c r="O96" i="60"/>
  <c r="O144" i="60"/>
  <c r="O46" i="60"/>
  <c r="O105" i="60"/>
  <c r="D23" i="56"/>
  <c r="D25" i="56"/>
  <c r="N30" i="60"/>
  <c r="N172" i="60"/>
  <c r="O153" i="60"/>
  <c r="O43" i="60"/>
  <c r="B23" i="55"/>
  <c r="H28" i="55"/>
  <c r="N216" i="58"/>
  <c r="O213" i="58"/>
  <c r="O177" i="60"/>
  <c r="O115" i="60"/>
  <c r="M121" i="60"/>
  <c r="N121" i="59"/>
  <c r="O71" i="60"/>
  <c r="P71" i="60"/>
  <c r="O77" i="60"/>
  <c r="O106" i="60"/>
  <c r="O174" i="59"/>
  <c r="O174" i="60"/>
  <c r="M20" i="60"/>
  <c r="N20" i="59"/>
  <c r="D7" i="55"/>
  <c r="D9" i="55"/>
  <c r="P41" i="59"/>
  <c r="P67" i="59"/>
  <c r="P80" i="60"/>
  <c r="P183" i="59"/>
  <c r="P183" i="60"/>
  <c r="P369" i="59"/>
  <c r="P32" i="59"/>
  <c r="P54" i="59"/>
  <c r="P54" i="60"/>
  <c r="P84" i="59"/>
  <c r="H13" i="56"/>
  <c r="P46" i="59"/>
  <c r="P140" i="59"/>
  <c r="P140" i="60"/>
  <c r="P185" i="59"/>
  <c r="P87" i="59"/>
  <c r="P57" i="59"/>
  <c r="P57" i="60"/>
  <c r="P136" i="59"/>
  <c r="P149" i="59"/>
  <c r="P175" i="59"/>
  <c r="H16" i="56"/>
  <c r="P122" i="59"/>
  <c r="P59" i="59"/>
  <c r="P59" i="60"/>
  <c r="P139" i="59"/>
  <c r="P191" i="59"/>
  <c r="P68" i="59"/>
  <c r="P68" i="60"/>
  <c r="P113" i="59"/>
  <c r="P188" i="59"/>
  <c r="P188" i="60"/>
  <c r="P155" i="59"/>
  <c r="P134" i="59"/>
  <c r="H15" i="56"/>
  <c r="P92" i="60"/>
  <c r="P98" i="59"/>
  <c r="P98" i="60"/>
  <c r="P55" i="60"/>
  <c r="P35" i="60"/>
  <c r="S1" i="58"/>
  <c r="R4" i="58"/>
  <c r="Q1" i="59"/>
  <c r="R7" i="58"/>
  <c r="R32" i="58"/>
  <c r="R23" i="58"/>
  <c r="R29" i="58"/>
  <c r="R36" i="58"/>
  <c r="R31" i="58"/>
  <c r="R35" i="58"/>
  <c r="R39" i="58"/>
  <c r="R34" i="58"/>
  <c r="R74" i="58"/>
  <c r="R77" i="58"/>
  <c r="R80" i="58"/>
  <c r="R57" i="58"/>
  <c r="R68" i="58"/>
  <c r="R90" i="58"/>
  <c r="R96" i="58"/>
  <c r="Q96" i="59"/>
  <c r="R87" i="58"/>
  <c r="R99" i="58"/>
  <c r="R142" i="58"/>
  <c r="R93" i="58"/>
  <c r="R120" i="58"/>
  <c r="R159" i="58"/>
  <c r="Q159" i="59"/>
  <c r="R162" i="58"/>
  <c r="R177" i="58"/>
  <c r="R183" i="58"/>
  <c r="R156" i="58"/>
  <c r="Q156" i="59"/>
  <c r="R135" i="58"/>
  <c r="R174" i="58"/>
  <c r="R188" i="58"/>
  <c r="Q188" i="59"/>
  <c r="Q188" i="60"/>
  <c r="R195" i="58"/>
  <c r="Q1" i="60"/>
  <c r="R226" i="58"/>
  <c r="R228" i="58"/>
  <c r="R152" i="58"/>
  <c r="R182" i="58"/>
  <c r="R181" i="58"/>
  <c r="R171" i="58"/>
  <c r="R154" i="58"/>
  <c r="R130" i="58"/>
  <c r="Q130" i="59"/>
  <c r="R138" i="58"/>
  <c r="R127" i="58"/>
  <c r="R73" i="58"/>
  <c r="R95" i="58"/>
  <c r="R109" i="58"/>
  <c r="R94" i="58"/>
  <c r="R85" i="58"/>
  <c r="R42" i="58"/>
  <c r="R38" i="58"/>
  <c r="R48" i="58"/>
  <c r="R180" i="58"/>
  <c r="R153" i="58"/>
  <c r="R189" i="58"/>
  <c r="Q189" i="59"/>
  <c r="R167" i="58"/>
  <c r="Q167" i="59"/>
  <c r="Q167" i="60"/>
  <c r="R158" i="58"/>
  <c r="R161" i="58"/>
  <c r="R149" i="58"/>
  <c r="R122" i="58"/>
  <c r="R132" i="58"/>
  <c r="R115" i="58"/>
  <c r="R97" i="58"/>
  <c r="R86" i="58"/>
  <c r="Q86" i="59"/>
  <c r="Q86" i="60"/>
  <c r="R82" i="58"/>
  <c r="R229" i="58"/>
  <c r="R186" i="58"/>
  <c r="R185" i="58"/>
  <c r="R163" i="58"/>
  <c r="R133" i="58"/>
  <c r="R144" i="58"/>
  <c r="R125" i="58"/>
  <c r="R100" i="58"/>
  <c r="R121" i="58"/>
  <c r="R107" i="58"/>
  <c r="R91" i="58"/>
  <c r="Q91" i="59"/>
  <c r="R191" i="58"/>
  <c r="R190" i="58"/>
  <c r="R176" i="58"/>
  <c r="R187" i="58"/>
  <c r="R179" i="58"/>
  <c r="R175" i="58"/>
  <c r="R166" i="58"/>
  <c r="Q166" i="59"/>
  <c r="R160" i="58"/>
  <c r="R172" i="58"/>
  <c r="R157" i="58"/>
  <c r="R84" i="58"/>
  <c r="R184" i="58"/>
  <c r="R178" i="58"/>
  <c r="R168" i="58"/>
  <c r="R155" i="58"/>
  <c r="R134" i="58"/>
  <c r="R112" i="58"/>
  <c r="R111" i="58"/>
  <c r="Q111" i="59"/>
  <c r="Q111" i="60"/>
  <c r="R105" i="58"/>
  <c r="Q105" i="59"/>
  <c r="R76" i="58"/>
  <c r="R106" i="58"/>
  <c r="R98" i="58"/>
  <c r="R92" i="58"/>
  <c r="R71" i="58"/>
  <c r="Q71" i="59"/>
  <c r="R69" i="58"/>
  <c r="R67" i="58"/>
  <c r="R60" i="58"/>
  <c r="Q60" i="59"/>
  <c r="R51" i="58"/>
  <c r="R47" i="58"/>
  <c r="Q47" i="59"/>
  <c r="R26" i="58"/>
  <c r="R19" i="58"/>
  <c r="R11" i="58"/>
  <c r="R165" i="58"/>
  <c r="R104" i="58"/>
  <c r="R15" i="58"/>
  <c r="R173" i="58"/>
  <c r="R169" i="58"/>
  <c r="R126" i="58"/>
  <c r="R123" i="58"/>
  <c r="R101" i="58"/>
  <c r="R88" i="58"/>
  <c r="R59" i="58"/>
  <c r="Q59" i="59"/>
  <c r="Q59" i="60"/>
  <c r="R58" i="58"/>
  <c r="R43" i="58"/>
  <c r="Q43" i="59"/>
  <c r="R49" i="58"/>
  <c r="Q49" i="59"/>
  <c r="R6" i="58"/>
  <c r="Q6" i="59"/>
  <c r="R10" i="58"/>
  <c r="R3" i="58"/>
  <c r="R5" i="58"/>
  <c r="R14" i="58"/>
  <c r="R8" i="58"/>
  <c r="R170" i="58"/>
  <c r="R52" i="58"/>
  <c r="R140" i="58"/>
  <c r="R143" i="58"/>
  <c r="R128" i="58"/>
  <c r="Q128" i="59"/>
  <c r="R116" i="58"/>
  <c r="R110" i="58"/>
  <c r="R66" i="58"/>
  <c r="R62" i="58"/>
  <c r="R63" i="58"/>
  <c r="R65" i="58"/>
  <c r="R54" i="58"/>
  <c r="R44" i="58"/>
  <c r="R25" i="58"/>
  <c r="R16" i="58"/>
  <c r="R12" i="58"/>
  <c r="Q12" i="59"/>
  <c r="R150" i="58"/>
  <c r="R118" i="58"/>
  <c r="R119" i="58"/>
  <c r="R78" i="58"/>
  <c r="R61" i="58"/>
  <c r="R64" i="58"/>
  <c r="Q64" i="59"/>
  <c r="R45" i="58"/>
  <c r="R40" i="58"/>
  <c r="R30" i="58"/>
  <c r="R28" i="58"/>
  <c r="R9" i="58"/>
  <c r="Q9" i="59"/>
  <c r="R20" i="58"/>
  <c r="R114" i="58"/>
  <c r="R102" i="58"/>
  <c r="R13" i="58"/>
  <c r="R117" i="58"/>
  <c r="R146" i="58"/>
  <c r="R147" i="58"/>
  <c r="R139" i="58"/>
  <c r="R137" i="58"/>
  <c r="R131" i="58"/>
  <c r="R136" i="58"/>
  <c r="R108" i="58"/>
  <c r="R89" i="58"/>
  <c r="R83" i="58"/>
  <c r="Q83" i="59"/>
  <c r="R56" i="58"/>
  <c r="R50" i="58"/>
  <c r="R55" i="58"/>
  <c r="R46" i="58"/>
  <c r="R24" i="58"/>
  <c r="R21" i="58"/>
  <c r="R164" i="58"/>
  <c r="R113" i="58"/>
  <c r="R53" i="58"/>
  <c r="R148" i="58"/>
  <c r="R103" i="58"/>
  <c r="R33" i="58"/>
  <c r="R75" i="58"/>
  <c r="R70" i="58"/>
  <c r="R17" i="58"/>
  <c r="R27" i="58"/>
  <c r="R22" i="58"/>
  <c r="R124" i="58"/>
  <c r="R37" i="58"/>
  <c r="R129" i="58"/>
  <c r="R79" i="58"/>
  <c r="R18" i="58"/>
  <c r="Q18" i="59"/>
  <c r="R81" i="58"/>
  <c r="Q81" i="59"/>
  <c r="R141" i="58"/>
  <c r="R41" i="58"/>
  <c r="Q41" i="59"/>
  <c r="R151" i="58"/>
  <c r="R145" i="58"/>
  <c r="R72" i="58"/>
  <c r="O181" i="60"/>
  <c r="O190" i="60"/>
  <c r="O30" i="59"/>
  <c r="O30" i="60"/>
  <c r="O60" i="60"/>
  <c r="P60" i="60"/>
  <c r="O178" i="60"/>
  <c r="D30" i="56"/>
  <c r="O41" i="60"/>
  <c r="O151" i="60"/>
  <c r="O51" i="60"/>
  <c r="O15" i="60"/>
  <c r="M70" i="60"/>
  <c r="N70" i="59"/>
  <c r="O24" i="60"/>
  <c r="P103" i="59"/>
  <c r="Q194" i="58"/>
  <c r="Q193" i="58"/>
  <c r="Q196" i="58"/>
  <c r="Q202" i="58"/>
  <c r="H10" i="56"/>
  <c r="Q201" i="58"/>
  <c r="Q199" i="58"/>
  <c r="Q200" i="58"/>
  <c r="Q207" i="58"/>
  <c r="H4" i="56"/>
  <c r="P36" i="59"/>
  <c r="P82" i="59"/>
  <c r="P82" i="60"/>
  <c r="P171" i="59"/>
  <c r="H7" i="56"/>
  <c r="O163" i="60"/>
  <c r="O170" i="60"/>
  <c r="M3" i="60"/>
  <c r="N3" i="59"/>
  <c r="L193" i="59"/>
  <c r="R221" i="58"/>
  <c r="S218" i="58"/>
  <c r="O75" i="60"/>
  <c r="O168" i="60"/>
  <c r="O191" i="60"/>
  <c r="O102" i="60"/>
  <c r="P108" i="60"/>
  <c r="P189" i="60"/>
  <c r="P182" i="59"/>
  <c r="P368" i="59"/>
  <c r="O166" i="60"/>
  <c r="P166" i="60"/>
  <c r="F37" i="56"/>
  <c r="O156" i="60"/>
  <c r="O110" i="60"/>
  <c r="N138" i="60"/>
  <c r="K27" i="55"/>
  <c r="N52" i="60"/>
  <c r="O52" i="60"/>
  <c r="O120" i="59"/>
  <c r="O120" i="60"/>
  <c r="O107" i="59"/>
  <c r="O107" i="60"/>
  <c r="O12" i="60"/>
  <c r="O49" i="60"/>
  <c r="F34" i="56"/>
  <c r="M22" i="60"/>
  <c r="N22" i="59"/>
  <c r="O48" i="60"/>
  <c r="O179" i="60"/>
  <c r="O172" i="59"/>
  <c r="G33" i="56"/>
  <c r="O42" i="60"/>
  <c r="O94" i="60"/>
  <c r="M45" i="60"/>
  <c r="N45" i="60"/>
  <c r="O45" i="60"/>
  <c r="N97" i="60"/>
  <c r="E37" i="56"/>
  <c r="O133" i="60"/>
  <c r="O180" i="60"/>
  <c r="O138" i="59"/>
  <c r="P138" i="59"/>
  <c r="O171" i="60"/>
  <c r="E23" i="56"/>
  <c r="P151" i="59"/>
  <c r="P90" i="59"/>
  <c r="P115" i="59"/>
  <c r="P8" i="60"/>
  <c r="P39" i="59"/>
  <c r="P74" i="59"/>
  <c r="P147" i="59"/>
  <c r="P62" i="59"/>
  <c r="P164" i="59"/>
  <c r="P16" i="59"/>
  <c r="P16" i="60"/>
  <c r="P78" i="60"/>
  <c r="P73" i="59"/>
  <c r="P73" i="60"/>
  <c r="P69" i="60"/>
  <c r="P144" i="59"/>
  <c r="P144" i="60"/>
  <c r="P174" i="59"/>
  <c r="P174" i="60"/>
  <c r="P133" i="59"/>
  <c r="P133" i="60"/>
  <c r="P126" i="59"/>
  <c r="P152" i="59"/>
  <c r="P94" i="59"/>
  <c r="P132" i="59"/>
  <c r="P132" i="60"/>
  <c r="P163" i="59"/>
  <c r="P172" i="59"/>
  <c r="P110" i="59"/>
  <c r="P89" i="59"/>
  <c r="P52" i="59"/>
  <c r="P13" i="60"/>
  <c r="O21" i="59"/>
  <c r="O21" i="60"/>
  <c r="M37" i="60"/>
  <c r="N37" i="59"/>
  <c r="N19" i="60"/>
  <c r="G18" i="56"/>
  <c r="G25" i="56"/>
  <c r="O154" i="60"/>
  <c r="O126" i="60"/>
  <c r="O189" i="60"/>
  <c r="P4" i="59"/>
  <c r="H12" i="56"/>
  <c r="P105" i="60"/>
  <c r="P156" i="60"/>
  <c r="P190" i="59"/>
  <c r="P104" i="59"/>
  <c r="H14" i="56"/>
  <c r="P12" i="60"/>
  <c r="O161" i="60"/>
  <c r="O164" i="60"/>
  <c r="M66" i="60"/>
  <c r="E38" i="56"/>
  <c r="N66" i="59"/>
  <c r="P75" i="59"/>
  <c r="P180" i="59"/>
  <c r="P180" i="60"/>
  <c r="P366" i="59"/>
  <c r="P91" i="59"/>
  <c r="P49" i="60"/>
  <c r="O32" i="60"/>
  <c r="O104" i="60"/>
  <c r="O162" i="60"/>
  <c r="O50" i="59"/>
  <c r="O50" i="60"/>
  <c r="O108" i="60"/>
  <c r="O185" i="60"/>
  <c r="O155" i="60"/>
  <c r="O159" i="60"/>
  <c r="P159" i="60"/>
  <c r="P214" i="58"/>
  <c r="G6" i="55"/>
  <c r="G22" i="55"/>
  <c r="G21" i="56"/>
  <c r="H8" i="55"/>
  <c r="M17" i="60"/>
  <c r="E35" i="56"/>
  <c r="N17" i="59"/>
  <c r="O186" i="60"/>
  <c r="G32" i="56"/>
  <c r="O113" i="60"/>
  <c r="O84" i="60"/>
  <c r="O31" i="59"/>
  <c r="O31" i="60"/>
  <c r="O62" i="60"/>
  <c r="N95" i="60"/>
  <c r="O95" i="60"/>
  <c r="P95" i="60"/>
  <c r="P145" i="59"/>
  <c r="P124" i="59"/>
  <c r="P18" i="59"/>
  <c r="P24" i="59"/>
  <c r="P153" i="59"/>
  <c r="P14" i="59"/>
  <c r="P38" i="59"/>
  <c r="P99" i="60"/>
  <c r="P9" i="59"/>
  <c r="P26" i="59"/>
  <c r="P116" i="59"/>
  <c r="P53" i="60"/>
  <c r="P125" i="59"/>
  <c r="P42" i="59"/>
  <c r="H11" i="56"/>
  <c r="P106" i="59"/>
  <c r="P106" i="60"/>
  <c r="P114" i="60"/>
  <c r="P150" i="60"/>
  <c r="P112" i="59"/>
  <c r="P165" i="59"/>
  <c r="H5" i="56"/>
  <c r="P107" i="59"/>
  <c r="P107" i="60"/>
  <c r="P170" i="59"/>
  <c r="P63" i="60"/>
  <c r="P181" i="59"/>
  <c r="P367" i="59"/>
  <c r="P179" i="59"/>
  <c r="P365" i="59"/>
  <c r="P176" i="59"/>
  <c r="P362" i="59"/>
  <c r="P101" i="59"/>
  <c r="P101" i="60"/>
  <c r="P85" i="59"/>
  <c r="P28" i="59"/>
  <c r="P10" i="59"/>
  <c r="H8" i="56"/>
  <c r="O134" i="60"/>
  <c r="O65" i="60"/>
  <c r="P65" i="60"/>
  <c r="O89" i="60"/>
  <c r="O136" i="60"/>
  <c r="G3" i="55"/>
  <c r="P198" i="58"/>
  <c r="P205" i="58"/>
  <c r="L26" i="55"/>
  <c r="L27" i="55"/>
  <c r="O122" i="60"/>
  <c r="O23" i="60"/>
  <c r="O149" i="60"/>
  <c r="M5" i="59"/>
  <c r="K5" i="60"/>
  <c r="K193" i="60"/>
  <c r="P72" i="59"/>
  <c r="P123" i="59"/>
  <c r="P123" i="60"/>
  <c r="P186" i="59"/>
  <c r="H6" i="56"/>
  <c r="P111" i="59"/>
  <c r="P111" i="60"/>
  <c r="P178" i="59"/>
  <c r="P364" i="59"/>
  <c r="H5" i="55"/>
  <c r="Q209" i="58"/>
  <c r="Q210" i="58"/>
  <c r="Q211" i="58"/>
  <c r="H20" i="56"/>
  <c r="G4" i="55"/>
  <c r="G19" i="56"/>
  <c r="N194" i="60"/>
  <c r="O28" i="60"/>
  <c r="E7" i="55"/>
  <c r="O39" i="60"/>
  <c r="O137" i="59"/>
  <c r="O137" i="60"/>
  <c r="O81" i="60"/>
  <c r="P81" i="60"/>
  <c r="M147" i="60"/>
  <c r="N147" i="60"/>
  <c r="O147" i="60"/>
  <c r="P148" i="59"/>
  <c r="P29" i="59"/>
  <c r="P29" i="60"/>
  <c r="P128" i="60"/>
  <c r="P23" i="59"/>
  <c r="P23" i="60"/>
  <c r="P168" i="59"/>
  <c r="P43" i="60"/>
  <c r="O11" i="60"/>
  <c r="P11" i="60"/>
  <c r="O18" i="60"/>
  <c r="O176" i="60"/>
  <c r="E40" i="56"/>
  <c r="O27" i="60"/>
  <c r="O139" i="60"/>
  <c r="O67" i="60"/>
  <c r="O6" i="60"/>
  <c r="P6" i="60"/>
  <c r="O58" i="60"/>
  <c r="O19" i="59"/>
  <c r="O19" i="60"/>
  <c r="F23" i="56"/>
  <c r="M141" i="60"/>
  <c r="N141" i="59"/>
  <c r="O10" i="60"/>
  <c r="G34" i="56"/>
  <c r="O187" i="60"/>
  <c r="O117" i="60"/>
  <c r="O87" i="60"/>
  <c r="K198" i="59"/>
  <c r="K200" i="59"/>
  <c r="O47" i="60"/>
  <c r="P47" i="60"/>
  <c r="M79" i="60"/>
  <c r="N79" i="59"/>
  <c r="O29" i="59"/>
  <c r="O29" i="60"/>
  <c r="P203" i="58"/>
  <c r="O97" i="59"/>
  <c r="O97" i="60"/>
  <c r="M100" i="60"/>
  <c r="N100" i="59"/>
  <c r="O74" i="60"/>
  <c r="N34" i="60"/>
  <c r="O34" i="60"/>
  <c r="O116" i="60"/>
  <c r="O211" i="58"/>
  <c r="P27" i="59"/>
  <c r="P141" i="59"/>
  <c r="H9" i="56"/>
  <c r="P51" i="59"/>
  <c r="P117" i="59"/>
  <c r="P15" i="59"/>
  <c r="P15" i="60"/>
  <c r="P48" i="59"/>
  <c r="P88" i="59"/>
  <c r="P88" i="60"/>
  <c r="P7" i="59"/>
  <c r="P45" i="59"/>
  <c r="P34" i="59"/>
  <c r="P162" i="59"/>
  <c r="P44" i="60"/>
  <c r="P102" i="59"/>
  <c r="P127" i="60"/>
  <c r="P160" i="59"/>
  <c r="P160" i="60"/>
  <c r="P119" i="59"/>
  <c r="P119" i="60"/>
  <c r="P118" i="59"/>
  <c r="P177" i="59"/>
  <c r="P177" i="60"/>
  <c r="P363" i="59"/>
  <c r="P58" i="59"/>
  <c r="P58" i="60"/>
  <c r="P173" i="59"/>
  <c r="P173" i="60"/>
  <c r="P187" i="59"/>
  <c r="P169" i="60"/>
  <c r="P131" i="59"/>
  <c r="P56" i="59"/>
  <c r="P56" i="60"/>
  <c r="O83" i="60"/>
  <c r="P83" i="60"/>
  <c r="O175" i="60"/>
  <c r="O130" i="60"/>
  <c r="P130" i="60"/>
  <c r="O40" i="59"/>
  <c r="O40" i="60"/>
  <c r="K195" i="60"/>
  <c r="Q7" i="59"/>
  <c r="P152" i="60"/>
  <c r="Q72" i="59"/>
  <c r="Q27" i="59"/>
  <c r="P176" i="60"/>
  <c r="P19" i="59"/>
  <c r="P19" i="60"/>
  <c r="P126" i="60"/>
  <c r="P143" i="59"/>
  <c r="P143" i="60"/>
  <c r="Q145" i="59"/>
  <c r="Q136" i="59"/>
  <c r="Q28" i="59"/>
  <c r="Q25" i="59"/>
  <c r="Q25" i="60"/>
  <c r="Q163" i="59"/>
  <c r="P64" i="60"/>
  <c r="K372" i="59"/>
  <c r="K375" i="59"/>
  <c r="K377" i="59"/>
  <c r="K379" i="59"/>
  <c r="L5" i="60"/>
  <c r="L193" i="60"/>
  <c r="L195" i="60"/>
  <c r="L196" i="60"/>
  <c r="P30" i="59"/>
  <c r="P30" i="60"/>
  <c r="Q98" i="59"/>
  <c r="Q98" i="60"/>
  <c r="Q77" i="59"/>
  <c r="P149" i="60"/>
  <c r="P46" i="60"/>
  <c r="P154" i="60"/>
  <c r="P120" i="59"/>
  <c r="P120" i="60"/>
  <c r="P62" i="60"/>
  <c r="P155" i="60"/>
  <c r="O182" i="59"/>
  <c r="F42" i="56"/>
  <c r="N182" i="60"/>
  <c r="P168" i="60"/>
  <c r="P112" i="60"/>
  <c r="P125" i="60"/>
  <c r="Q64" i="60"/>
  <c r="P77" i="60"/>
  <c r="P96" i="60"/>
  <c r="O216" i="58"/>
  <c r="P213" i="58"/>
  <c r="S221" i="58"/>
  <c r="T218" i="58"/>
  <c r="P85" i="60"/>
  <c r="P181" i="60"/>
  <c r="P165" i="60"/>
  <c r="H31" i="56"/>
  <c r="P26" i="60"/>
  <c r="P14" i="60"/>
  <c r="P124" i="60"/>
  <c r="N37" i="60"/>
  <c r="O37" i="59"/>
  <c r="Q72" i="60"/>
  <c r="Q140" i="59"/>
  <c r="Q140" i="60"/>
  <c r="Q71" i="60"/>
  <c r="Q95" i="59"/>
  <c r="Q57" i="59"/>
  <c r="Q57" i="60"/>
  <c r="P185" i="60"/>
  <c r="P97" i="59"/>
  <c r="P97" i="60"/>
  <c r="P4" i="60"/>
  <c r="E36" i="56"/>
  <c r="Q53" i="59"/>
  <c r="Q117" i="59"/>
  <c r="P34" i="60"/>
  <c r="P27" i="60"/>
  <c r="P72" i="60"/>
  <c r="P28" i="60"/>
  <c r="P179" i="60"/>
  <c r="P18" i="60"/>
  <c r="N66" i="60"/>
  <c r="F38" i="56"/>
  <c r="O66" i="59"/>
  <c r="P89" i="60"/>
  <c r="P94" i="60"/>
  <c r="P115" i="60"/>
  <c r="O172" i="60"/>
  <c r="P172" i="60"/>
  <c r="D21" i="55"/>
  <c r="L196" i="59"/>
  <c r="M193" i="59"/>
  <c r="Q141" i="59"/>
  <c r="Q124" i="59"/>
  <c r="Q83" i="60"/>
  <c r="Q139" i="59"/>
  <c r="Q114" i="59"/>
  <c r="Q45" i="59"/>
  <c r="Q150" i="59"/>
  <c r="Q150" i="60"/>
  <c r="Q65" i="59"/>
  <c r="Q128" i="60"/>
  <c r="Q14" i="59"/>
  <c r="Q14" i="60"/>
  <c r="Q43" i="60"/>
  <c r="Q126" i="59"/>
  <c r="Q126" i="60"/>
  <c r="Q11" i="59"/>
  <c r="Q67" i="59"/>
  <c r="Q76" i="59"/>
  <c r="Q168" i="59"/>
  <c r="Q168" i="60"/>
  <c r="Q160" i="59"/>
  <c r="Q160" i="60"/>
  <c r="Q190" i="59"/>
  <c r="Q125" i="59"/>
  <c r="Q122" i="59"/>
  <c r="Q153" i="59"/>
  <c r="Q94" i="59"/>
  <c r="Q94" i="60"/>
  <c r="Q130" i="60"/>
  <c r="Q135" i="59"/>
  <c r="Q135" i="60"/>
  <c r="Q120" i="59"/>
  <c r="Q120" i="60"/>
  <c r="Q90" i="59"/>
  <c r="Q34" i="59"/>
  <c r="Q34" i="60"/>
  <c r="Q23" i="59"/>
  <c r="Q23" i="60"/>
  <c r="N20" i="60"/>
  <c r="O20" i="59"/>
  <c r="P171" i="60"/>
  <c r="H33" i="56"/>
  <c r="Q18" i="60"/>
  <c r="Q108" i="59"/>
  <c r="Q62" i="59"/>
  <c r="Q173" i="59"/>
  <c r="Q173" i="60"/>
  <c r="Q142" i="59"/>
  <c r="N109" i="60"/>
  <c r="O109" i="59"/>
  <c r="F40" i="56"/>
  <c r="P102" i="60"/>
  <c r="P153" i="60"/>
  <c r="P131" i="60"/>
  <c r="P48" i="60"/>
  <c r="N141" i="60"/>
  <c r="O141" i="59"/>
  <c r="O141" i="60"/>
  <c r="P141" i="60"/>
  <c r="F41" i="56"/>
  <c r="H18" i="56"/>
  <c r="P116" i="60"/>
  <c r="P38" i="60"/>
  <c r="G39" i="56"/>
  <c r="N17" i="60"/>
  <c r="F35" i="56"/>
  <c r="O17" i="59"/>
  <c r="P190" i="60"/>
  <c r="P31" i="59"/>
  <c r="P31" i="60"/>
  <c r="P21" i="59"/>
  <c r="P21" i="60"/>
  <c r="N3" i="60"/>
  <c r="O3" i="59"/>
  <c r="H25" i="56"/>
  <c r="P103" i="60"/>
  <c r="D49" i="56"/>
  <c r="Q81" i="60"/>
  <c r="Q103" i="59"/>
  <c r="Q24" i="59"/>
  <c r="Q89" i="59"/>
  <c r="Q147" i="59"/>
  <c r="Q12" i="60"/>
  <c r="Q63" i="59"/>
  <c r="Q143" i="59"/>
  <c r="Q58" i="59"/>
  <c r="Q169" i="59"/>
  <c r="Q19" i="59"/>
  <c r="Q19" i="60"/>
  <c r="Q69" i="59"/>
  <c r="Q105" i="60"/>
  <c r="Q178" i="59"/>
  <c r="Q364" i="59"/>
  <c r="Q166" i="60"/>
  <c r="Q191" i="59"/>
  <c r="Q144" i="59"/>
  <c r="Q144" i="60"/>
  <c r="Q82" i="59"/>
  <c r="Q149" i="59"/>
  <c r="Q149" i="60"/>
  <c r="Q180" i="59"/>
  <c r="Q366" i="59"/>
  <c r="Q154" i="59"/>
  <c r="Q156" i="60"/>
  <c r="Q93" i="59"/>
  <c r="Q68" i="59"/>
  <c r="Q68" i="60"/>
  <c r="Q39" i="59"/>
  <c r="Q32" i="59"/>
  <c r="P134" i="60"/>
  <c r="H41" i="56"/>
  <c r="P191" i="60"/>
  <c r="P175" i="60"/>
  <c r="H42" i="56"/>
  <c r="P87" i="60"/>
  <c r="P84" i="60"/>
  <c r="Q10" i="59"/>
  <c r="I8" i="56"/>
  <c r="Q88" i="59"/>
  <c r="Q88" i="60"/>
  <c r="Q15" i="59"/>
  <c r="Q15" i="60"/>
  <c r="Q47" i="60"/>
  <c r="Q92" i="59"/>
  <c r="Q92" i="60"/>
  <c r="Q112" i="59"/>
  <c r="Q84" i="59"/>
  <c r="I13" i="56"/>
  <c r="Q179" i="59"/>
  <c r="Q365" i="59"/>
  <c r="Q107" i="59"/>
  <c r="Q158" i="59"/>
  <c r="Q158" i="60"/>
  <c r="Q38" i="59"/>
  <c r="Q73" i="59"/>
  <c r="Q73" i="60"/>
  <c r="Q181" i="59"/>
  <c r="Q181" i="60"/>
  <c r="Q367" i="59"/>
  <c r="I5" i="55"/>
  <c r="I20" i="56"/>
  <c r="R209" i="58"/>
  <c r="R210" i="58"/>
  <c r="Q177" i="59"/>
  <c r="Q177" i="60"/>
  <c r="Q363" i="59"/>
  <c r="Q99" i="59"/>
  <c r="Q80" i="59"/>
  <c r="Q31" i="59"/>
  <c r="Q31" i="60"/>
  <c r="P67" i="60"/>
  <c r="O148" i="60"/>
  <c r="P148" i="60"/>
  <c r="P45" i="60"/>
  <c r="M5" i="60"/>
  <c r="N5" i="59"/>
  <c r="F30" i="56"/>
  <c r="P42" i="60"/>
  <c r="P137" i="59"/>
  <c r="P137" i="60"/>
  <c r="P110" i="60"/>
  <c r="P147" i="60"/>
  <c r="P90" i="60"/>
  <c r="P151" i="60"/>
  <c r="Q214" i="58"/>
  <c r="H6" i="55"/>
  <c r="H22" i="55"/>
  <c r="H21" i="56"/>
  <c r="Q27" i="60"/>
  <c r="Q46" i="59"/>
  <c r="Q46" i="60"/>
  <c r="Q61" i="59"/>
  <c r="Q175" i="59"/>
  <c r="I16" i="56"/>
  <c r="Q161" i="59"/>
  <c r="Q171" i="59"/>
  <c r="I7" i="56"/>
  <c r="Q35" i="59"/>
  <c r="AQ375" i="59"/>
  <c r="F3" i="54"/>
  <c r="F5" i="54"/>
  <c r="B18" i="55"/>
  <c r="B19" i="55"/>
  <c r="P74" i="60"/>
  <c r="H3" i="55"/>
  <c r="Q198" i="58"/>
  <c r="Q205" i="58"/>
  <c r="M26" i="55"/>
  <c r="M27" i="55"/>
  <c r="Q55" i="59"/>
  <c r="Q55" i="60"/>
  <c r="Q28" i="60"/>
  <c r="I12" i="56"/>
  <c r="P187" i="60"/>
  <c r="P51" i="60"/>
  <c r="P10" i="60"/>
  <c r="H34" i="56"/>
  <c r="P170" i="60"/>
  <c r="P9" i="60"/>
  <c r="Q9" i="60"/>
  <c r="P24" i="60"/>
  <c r="P145" i="60"/>
  <c r="Q145" i="60"/>
  <c r="P75" i="60"/>
  <c r="P163" i="60"/>
  <c r="Q163" i="60"/>
  <c r="P39" i="60"/>
  <c r="G37" i="56"/>
  <c r="E30" i="56"/>
  <c r="P50" i="59"/>
  <c r="Q50" i="59"/>
  <c r="Q203" i="58"/>
  <c r="H4" i="55"/>
  <c r="H19" i="56"/>
  <c r="O194" i="60"/>
  <c r="N70" i="60"/>
  <c r="O70" i="59"/>
  <c r="Q151" i="59"/>
  <c r="Q151" i="60"/>
  <c r="Q113" i="59"/>
  <c r="Q131" i="59"/>
  <c r="Q13" i="59"/>
  <c r="Q30" i="59"/>
  <c r="Q119" i="59"/>
  <c r="Q119" i="60"/>
  <c r="Q44" i="59"/>
  <c r="Q110" i="59"/>
  <c r="Q110" i="60"/>
  <c r="Q170" i="59"/>
  <c r="Q170" i="60"/>
  <c r="Q6" i="60"/>
  <c r="Q101" i="59"/>
  <c r="Q101" i="60"/>
  <c r="Q104" i="59"/>
  <c r="I14" i="56"/>
  <c r="Q51" i="59"/>
  <c r="Q134" i="59"/>
  <c r="I15" i="56"/>
  <c r="Q157" i="59"/>
  <c r="Q187" i="59"/>
  <c r="Q185" i="59"/>
  <c r="Q185" i="60"/>
  <c r="Q115" i="59"/>
  <c r="Q115" i="60"/>
  <c r="Q42" i="59"/>
  <c r="I11" i="56"/>
  <c r="Q127" i="59"/>
  <c r="Q127" i="60"/>
  <c r="Q182" i="59"/>
  <c r="Q368" i="59"/>
  <c r="Q162" i="59"/>
  <c r="Q87" i="59"/>
  <c r="Q87" i="60"/>
  <c r="Q77" i="60"/>
  <c r="Q36" i="59"/>
  <c r="Q4" i="59"/>
  <c r="Q4" i="60"/>
  <c r="P136" i="60"/>
  <c r="P32" i="60"/>
  <c r="N33" i="60"/>
  <c r="O33" i="59"/>
  <c r="N129" i="60"/>
  <c r="O129" i="59"/>
  <c r="Q148" i="59"/>
  <c r="Q146" i="59"/>
  <c r="Q16" i="59"/>
  <c r="Q16" i="60"/>
  <c r="R193" i="58"/>
  <c r="R196" i="58"/>
  <c r="R202" i="58"/>
  <c r="R207" i="58"/>
  <c r="R201" i="58"/>
  <c r="R199" i="58"/>
  <c r="R194" i="58"/>
  <c r="R200" i="58"/>
  <c r="I4" i="56"/>
  <c r="I10" i="56"/>
  <c r="Q26" i="59"/>
  <c r="Q26" i="60"/>
  <c r="Q184" i="59"/>
  <c r="Q370" i="59"/>
  <c r="Q133" i="59"/>
  <c r="Q48" i="59"/>
  <c r="Q48" i="60"/>
  <c r="Q183" i="59"/>
  <c r="Q183" i="60"/>
  <c r="Q369" i="59"/>
  <c r="P139" i="60"/>
  <c r="P117" i="60"/>
  <c r="P186" i="60"/>
  <c r="H32" i="56"/>
  <c r="G7" i="55"/>
  <c r="I9" i="56"/>
  <c r="Q136" i="60"/>
  <c r="Q78" i="59"/>
  <c r="Q52" i="59"/>
  <c r="P118" i="60"/>
  <c r="P7" i="60"/>
  <c r="Q7" i="60"/>
  <c r="P162" i="60"/>
  <c r="N100" i="60"/>
  <c r="O100" i="60"/>
  <c r="P100" i="60"/>
  <c r="N79" i="60"/>
  <c r="O79" i="59"/>
  <c r="P40" i="59"/>
  <c r="P40" i="60"/>
  <c r="D10" i="55"/>
  <c r="D11" i="55"/>
  <c r="D13" i="55"/>
  <c r="E9" i="55"/>
  <c r="P178" i="60"/>
  <c r="F39" i="56"/>
  <c r="I8" i="55"/>
  <c r="P91" i="60"/>
  <c r="Q91" i="60"/>
  <c r="P104" i="60"/>
  <c r="G23" i="56"/>
  <c r="P52" i="60"/>
  <c r="P164" i="60"/>
  <c r="O138" i="60"/>
  <c r="P138" i="60"/>
  <c r="N22" i="60"/>
  <c r="O22" i="59"/>
  <c r="M193" i="60"/>
  <c r="M195" i="60"/>
  <c r="P36" i="60"/>
  <c r="Q75" i="59"/>
  <c r="Q164" i="59"/>
  <c r="Q56" i="59"/>
  <c r="Q56" i="60"/>
  <c r="Q137" i="59"/>
  <c r="Q137" i="60"/>
  <c r="Q102" i="59"/>
  <c r="Q102" i="60"/>
  <c r="Q40" i="59"/>
  <c r="Q40" i="60"/>
  <c r="Q118" i="59"/>
  <c r="Q118" i="60"/>
  <c r="Q54" i="59"/>
  <c r="Q54" i="60"/>
  <c r="Q116" i="59"/>
  <c r="Q8" i="59"/>
  <c r="Q49" i="60"/>
  <c r="Q123" i="59"/>
  <c r="Q123" i="60"/>
  <c r="Q165" i="59"/>
  <c r="I5" i="56"/>
  <c r="Q60" i="60"/>
  <c r="Q106" i="59"/>
  <c r="Q106" i="60"/>
  <c r="Q155" i="59"/>
  <c r="Q155" i="60"/>
  <c r="Q172" i="59"/>
  <c r="Q176" i="59"/>
  <c r="Q176" i="60"/>
  <c r="Q362" i="59"/>
  <c r="Q100" i="59"/>
  <c r="Q186" i="59"/>
  <c r="I6" i="56"/>
  <c r="Q132" i="59"/>
  <c r="Q132" i="60"/>
  <c r="Q189" i="60"/>
  <c r="Q85" i="59"/>
  <c r="Q85" i="60"/>
  <c r="Q138" i="59"/>
  <c r="Q152" i="59"/>
  <c r="Q152" i="60"/>
  <c r="Q174" i="59"/>
  <c r="Q174" i="60"/>
  <c r="Q159" i="60"/>
  <c r="Q96" i="60"/>
  <c r="Q74" i="59"/>
  <c r="Q29" i="59"/>
  <c r="Q29" i="60"/>
  <c r="T1" i="58"/>
  <c r="S4" i="58"/>
  <c r="S8" i="58"/>
  <c r="R8" i="59"/>
  <c r="S5" i="58"/>
  <c r="R1" i="59"/>
  <c r="S14" i="58"/>
  <c r="R14" i="59"/>
  <c r="R14" i="60"/>
  <c r="S20" i="58"/>
  <c r="S24" i="58"/>
  <c r="R24" i="59"/>
  <c r="S36" i="58"/>
  <c r="S15" i="58"/>
  <c r="R15" i="59"/>
  <c r="R15" i="60"/>
  <c r="S26" i="58"/>
  <c r="R26" i="59"/>
  <c r="R26" i="60"/>
  <c r="S39" i="58"/>
  <c r="R39" i="59"/>
  <c r="S32" i="58"/>
  <c r="S49" i="58"/>
  <c r="R49" i="59"/>
  <c r="S74" i="58"/>
  <c r="R74" i="59"/>
  <c r="S71" i="58"/>
  <c r="R71" i="59"/>
  <c r="R71" i="60"/>
  <c r="S109" i="58"/>
  <c r="S106" i="58"/>
  <c r="R106" i="59"/>
  <c r="R106" i="60"/>
  <c r="S88" i="58"/>
  <c r="S121" i="58"/>
  <c r="S133" i="58"/>
  <c r="R133" i="59"/>
  <c r="S143" i="58"/>
  <c r="R143" i="59"/>
  <c r="S154" i="58"/>
  <c r="S163" i="58"/>
  <c r="S166" i="58"/>
  <c r="S157" i="58"/>
  <c r="R157" i="59"/>
  <c r="S185" i="58"/>
  <c r="R185" i="59"/>
  <c r="R185" i="60"/>
  <c r="S181" i="58"/>
  <c r="S168" i="58"/>
  <c r="R168" i="59"/>
  <c r="R168" i="60"/>
  <c r="S175" i="58"/>
  <c r="S189" i="58"/>
  <c r="S195" i="58"/>
  <c r="S226" i="58"/>
  <c r="R1" i="60"/>
  <c r="S177" i="58"/>
  <c r="S173" i="58"/>
  <c r="R173" i="59"/>
  <c r="R173" i="60"/>
  <c r="S170" i="58"/>
  <c r="S169" i="58"/>
  <c r="R169" i="59"/>
  <c r="S156" i="58"/>
  <c r="S146" i="58"/>
  <c r="R146" i="59"/>
  <c r="S126" i="58"/>
  <c r="R126" i="59"/>
  <c r="R126" i="60"/>
  <c r="S149" i="58"/>
  <c r="R149" i="59"/>
  <c r="R149" i="60"/>
  <c r="S137" i="58"/>
  <c r="S131" i="58"/>
  <c r="S108" i="58"/>
  <c r="S134" i="58"/>
  <c r="S112" i="58"/>
  <c r="S104" i="58"/>
  <c r="S102" i="58"/>
  <c r="S93" i="58"/>
  <c r="S66" i="58"/>
  <c r="S85" i="58"/>
  <c r="S62" i="58"/>
  <c r="R62" i="59"/>
  <c r="S53" i="58"/>
  <c r="R53" i="59"/>
  <c r="S45" i="58"/>
  <c r="R45" i="59"/>
  <c r="S228" i="58"/>
  <c r="S229" i="58"/>
  <c r="S180" i="58"/>
  <c r="S183" i="58"/>
  <c r="S153" i="58"/>
  <c r="S167" i="58"/>
  <c r="S164" i="58"/>
  <c r="R164" i="59"/>
  <c r="S114" i="58"/>
  <c r="R114" i="59"/>
  <c r="S116" i="58"/>
  <c r="R116" i="59"/>
  <c r="S91" i="58"/>
  <c r="R91" i="59"/>
  <c r="S111" i="58"/>
  <c r="R111" i="59"/>
  <c r="R111" i="60"/>
  <c r="S105" i="58"/>
  <c r="S96" i="58"/>
  <c r="S89" i="58"/>
  <c r="R89" i="59"/>
  <c r="S98" i="58"/>
  <c r="S86" i="58"/>
  <c r="R86" i="59"/>
  <c r="R86" i="60"/>
  <c r="S82" i="58"/>
  <c r="S78" i="58"/>
  <c r="S83" i="58"/>
  <c r="S61" i="58"/>
  <c r="R61" i="59"/>
  <c r="S77" i="58"/>
  <c r="S174" i="58"/>
  <c r="S158" i="58"/>
  <c r="R158" i="59"/>
  <c r="R158" i="60"/>
  <c r="S161" i="58"/>
  <c r="R161" i="59"/>
  <c r="S160" i="58"/>
  <c r="S159" i="58"/>
  <c r="S84" i="58"/>
  <c r="S122" i="58"/>
  <c r="S130" i="58"/>
  <c r="S119" i="58"/>
  <c r="R119" i="59"/>
  <c r="R119" i="60"/>
  <c r="S165" i="58"/>
  <c r="S184" i="58"/>
  <c r="S186" i="58"/>
  <c r="S188" i="58"/>
  <c r="S178" i="58"/>
  <c r="S117" i="58"/>
  <c r="R117" i="59"/>
  <c r="S171" i="58"/>
  <c r="S155" i="58"/>
  <c r="S136" i="58"/>
  <c r="R136" i="59"/>
  <c r="R136" i="60"/>
  <c r="S132" i="58"/>
  <c r="S147" i="58"/>
  <c r="S142" i="58"/>
  <c r="S135" i="58"/>
  <c r="R135" i="59"/>
  <c r="R135" i="60"/>
  <c r="S127" i="58"/>
  <c r="R127" i="59"/>
  <c r="R127" i="60"/>
  <c r="S97" i="58"/>
  <c r="S94" i="58"/>
  <c r="R94" i="59"/>
  <c r="R94" i="60"/>
  <c r="S47" i="58"/>
  <c r="S25" i="58"/>
  <c r="S35" i="58"/>
  <c r="R35" i="59"/>
  <c r="S9" i="58"/>
  <c r="R9" i="59"/>
  <c r="S190" i="58"/>
  <c r="S144" i="58"/>
  <c r="R144" i="59"/>
  <c r="R144" i="60"/>
  <c r="S162" i="58"/>
  <c r="R162" i="59"/>
  <c r="S176" i="58"/>
  <c r="S150" i="58"/>
  <c r="R150" i="59"/>
  <c r="R150" i="60"/>
  <c r="S113" i="58"/>
  <c r="R113" i="59"/>
  <c r="S140" i="58"/>
  <c r="R140" i="59"/>
  <c r="R140" i="60"/>
  <c r="S73" i="58"/>
  <c r="R73" i="59"/>
  <c r="R73" i="60"/>
  <c r="S68" i="58"/>
  <c r="R68" i="59"/>
  <c r="R68" i="60"/>
  <c r="S87" i="58"/>
  <c r="S80" i="58"/>
  <c r="R80" i="59"/>
  <c r="S67" i="58"/>
  <c r="R67" i="59"/>
  <c r="S64" i="58"/>
  <c r="S58" i="58"/>
  <c r="R58" i="59"/>
  <c r="S40" i="58"/>
  <c r="S34" i="58"/>
  <c r="S30" i="58"/>
  <c r="S19" i="58"/>
  <c r="R19" i="59"/>
  <c r="R19" i="60"/>
  <c r="S12" i="58"/>
  <c r="R12" i="59"/>
  <c r="S3" i="58"/>
  <c r="S182" i="58"/>
  <c r="S11" i="58"/>
  <c r="R11" i="59"/>
  <c r="S10" i="58"/>
  <c r="S152" i="58"/>
  <c r="R152" i="59"/>
  <c r="R152" i="60"/>
  <c r="S191" i="58"/>
  <c r="R191" i="59"/>
  <c r="S125" i="58"/>
  <c r="R125" i="59"/>
  <c r="S101" i="58"/>
  <c r="S60" i="58"/>
  <c r="S51" i="58"/>
  <c r="R51" i="59"/>
  <c r="S50" i="58"/>
  <c r="S46" i="58"/>
  <c r="R46" i="59"/>
  <c r="R46" i="60"/>
  <c r="S38" i="58"/>
  <c r="R38" i="59"/>
  <c r="S21" i="58"/>
  <c r="S29" i="58"/>
  <c r="S7" i="58"/>
  <c r="R7" i="59"/>
  <c r="S128" i="58"/>
  <c r="S76" i="58"/>
  <c r="R76" i="59"/>
  <c r="S44" i="58"/>
  <c r="R44" i="59"/>
  <c r="S187" i="58"/>
  <c r="S138" i="58"/>
  <c r="S118" i="58"/>
  <c r="S100" i="58"/>
  <c r="S110" i="58"/>
  <c r="S120" i="58"/>
  <c r="S99" i="58"/>
  <c r="R99" i="59"/>
  <c r="S90" i="58"/>
  <c r="S59" i="58"/>
  <c r="R59" i="59"/>
  <c r="R59" i="60"/>
  <c r="S69" i="58"/>
  <c r="R69" i="59"/>
  <c r="S63" i="58"/>
  <c r="S65" i="58"/>
  <c r="R65" i="59"/>
  <c r="S56" i="58"/>
  <c r="R56" i="59"/>
  <c r="R56" i="60"/>
  <c r="S28" i="58"/>
  <c r="R28" i="59"/>
  <c r="S23" i="58"/>
  <c r="R23" i="59"/>
  <c r="R23" i="60"/>
  <c r="S55" i="58"/>
  <c r="R55" i="59"/>
  <c r="R55" i="60"/>
  <c r="S48" i="58"/>
  <c r="R48" i="59"/>
  <c r="R48" i="60"/>
  <c r="S31" i="58"/>
  <c r="R31" i="59"/>
  <c r="R31" i="60"/>
  <c r="S13" i="58"/>
  <c r="R13" i="59"/>
  <c r="S6" i="58"/>
  <c r="S172" i="58"/>
  <c r="S179" i="58"/>
  <c r="S139" i="58"/>
  <c r="R139" i="59"/>
  <c r="S107" i="58"/>
  <c r="R107" i="59"/>
  <c r="S123" i="58"/>
  <c r="R123" i="59"/>
  <c r="S95" i="58"/>
  <c r="R95" i="59"/>
  <c r="S92" i="58"/>
  <c r="R92" i="59"/>
  <c r="R92" i="60"/>
  <c r="S57" i="58"/>
  <c r="R57" i="59"/>
  <c r="R57" i="60"/>
  <c r="S43" i="58"/>
  <c r="S54" i="58"/>
  <c r="S42" i="58"/>
  <c r="S16" i="58"/>
  <c r="S115" i="58"/>
  <c r="R115" i="59"/>
  <c r="R115" i="60"/>
  <c r="S52" i="58"/>
  <c r="S75" i="58"/>
  <c r="S22" i="58"/>
  <c r="S33" i="58"/>
  <c r="S79" i="58"/>
  <c r="S141" i="58"/>
  <c r="S103" i="58"/>
  <c r="S72" i="58"/>
  <c r="R72" i="59"/>
  <c r="S41" i="58"/>
  <c r="R41" i="59"/>
  <c r="S18" i="58"/>
  <c r="R18" i="59"/>
  <c r="R18" i="60"/>
  <c r="S37" i="58"/>
  <c r="S124" i="58"/>
  <c r="S148" i="58"/>
  <c r="R148" i="59"/>
  <c r="S129" i="58"/>
  <c r="S70" i="58"/>
  <c r="S27" i="58"/>
  <c r="R27" i="59"/>
  <c r="R27" i="60"/>
  <c r="S17" i="58"/>
  <c r="S145" i="58"/>
  <c r="S81" i="58"/>
  <c r="S151" i="58"/>
  <c r="P113" i="60"/>
  <c r="P122" i="60"/>
  <c r="P41" i="60"/>
  <c r="Q41" i="60"/>
  <c r="N121" i="60"/>
  <c r="O121" i="59"/>
  <c r="P161" i="60"/>
  <c r="P25" i="60"/>
  <c r="D18" i="55"/>
  <c r="D19" i="55"/>
  <c r="R172" i="59"/>
  <c r="R172" i="60"/>
  <c r="R164" i="60"/>
  <c r="Q122" i="60"/>
  <c r="Q124" i="60"/>
  <c r="Q172" i="60"/>
  <c r="R16" i="59"/>
  <c r="R16" i="60"/>
  <c r="R28" i="60"/>
  <c r="R87" i="59"/>
  <c r="R87" i="60"/>
  <c r="R25" i="59"/>
  <c r="R142" i="59"/>
  <c r="R170" i="59"/>
  <c r="R170" i="60"/>
  <c r="Q125" i="60"/>
  <c r="R123" i="60"/>
  <c r="R153" i="59"/>
  <c r="Q103" i="60"/>
  <c r="Q62" i="60"/>
  <c r="Q45" i="60"/>
  <c r="R45" i="60"/>
  <c r="R125" i="60"/>
  <c r="R132" i="59"/>
  <c r="R132" i="60"/>
  <c r="R62" i="60"/>
  <c r="Q164" i="60"/>
  <c r="Q36" i="60"/>
  <c r="Q97" i="59"/>
  <c r="Q97" i="60"/>
  <c r="Q112" i="60"/>
  <c r="O182" i="60"/>
  <c r="P182" i="60"/>
  <c r="G42" i="56"/>
  <c r="H39" i="56"/>
  <c r="P216" i="58"/>
  <c r="Q213" i="58"/>
  <c r="T221" i="58"/>
  <c r="U218" i="58"/>
  <c r="R101" i="59"/>
  <c r="R101" i="60"/>
  <c r="R147" i="59"/>
  <c r="Q134" i="60"/>
  <c r="I41" i="56"/>
  <c r="Q175" i="60"/>
  <c r="I42" i="56"/>
  <c r="Q99" i="60"/>
  <c r="R99" i="60"/>
  <c r="O66" i="60"/>
  <c r="G38" i="56"/>
  <c r="P66" i="59"/>
  <c r="R91" i="60"/>
  <c r="R183" i="59"/>
  <c r="R183" i="60"/>
  <c r="R369" i="59"/>
  <c r="R112" i="59"/>
  <c r="R177" i="59"/>
  <c r="R177" i="60"/>
  <c r="R363" i="59"/>
  <c r="R154" i="59"/>
  <c r="O22" i="60"/>
  <c r="P22" i="59"/>
  <c r="J8" i="55"/>
  <c r="I6" i="55"/>
  <c r="I22" i="55"/>
  <c r="I21" i="56"/>
  <c r="R214" i="58"/>
  <c r="Q146" i="60"/>
  <c r="R146" i="60"/>
  <c r="O129" i="60"/>
  <c r="P129" i="59"/>
  <c r="Q42" i="60"/>
  <c r="I37" i="56"/>
  <c r="Q187" i="60"/>
  <c r="Q171" i="60"/>
  <c r="I33" i="56"/>
  <c r="Q179" i="60"/>
  <c r="Q191" i="60"/>
  <c r="Q69" i="60"/>
  <c r="Q58" i="60"/>
  <c r="R58" i="60"/>
  <c r="Q24" i="60"/>
  <c r="F36" i="56"/>
  <c r="F44" i="56"/>
  <c r="O20" i="60"/>
  <c r="P20" i="59"/>
  <c r="Q90" i="60"/>
  <c r="Q11" i="60"/>
  <c r="R11" i="60"/>
  <c r="Q21" i="59"/>
  <c r="Q21" i="60"/>
  <c r="L197" i="59"/>
  <c r="G3" i="54"/>
  <c r="G5" i="54"/>
  <c r="L198" i="59"/>
  <c r="L200" i="59"/>
  <c r="Q95" i="60"/>
  <c r="O37" i="60"/>
  <c r="P37" i="59"/>
  <c r="R187" i="59"/>
  <c r="R40" i="59"/>
  <c r="R40" i="60"/>
  <c r="R178" i="59"/>
  <c r="R364" i="59"/>
  <c r="R163" i="59"/>
  <c r="R163" i="60"/>
  <c r="P50" i="60"/>
  <c r="R41" i="60"/>
  <c r="R54" i="59"/>
  <c r="R54" i="60"/>
  <c r="R188" i="59"/>
  <c r="R188" i="60"/>
  <c r="R151" i="59"/>
  <c r="R151" i="60"/>
  <c r="R43" i="59"/>
  <c r="R43" i="60"/>
  <c r="R63" i="59"/>
  <c r="R110" i="59"/>
  <c r="R110" i="60"/>
  <c r="R191" i="60"/>
  <c r="R12" i="60"/>
  <c r="R64" i="59"/>
  <c r="R64" i="60"/>
  <c r="R190" i="59"/>
  <c r="R186" i="59"/>
  <c r="J6" i="56"/>
  <c r="R84" i="59"/>
  <c r="J13" i="56"/>
  <c r="R77" i="59"/>
  <c r="R77" i="60"/>
  <c r="R98" i="59"/>
  <c r="R180" i="59"/>
  <c r="R366" i="59"/>
  <c r="R85" i="59"/>
  <c r="R85" i="60"/>
  <c r="R134" i="59"/>
  <c r="J15" i="56"/>
  <c r="R181" i="59"/>
  <c r="R181" i="60"/>
  <c r="R367" i="59"/>
  <c r="Q74" i="60"/>
  <c r="Q78" i="60"/>
  <c r="Q184" i="60"/>
  <c r="I4" i="55"/>
  <c r="I19" i="56"/>
  <c r="P194" i="60"/>
  <c r="I3" i="55"/>
  <c r="R198" i="58"/>
  <c r="R205" i="58"/>
  <c r="N26" i="55"/>
  <c r="N27" i="55"/>
  <c r="Q148" i="60"/>
  <c r="Q182" i="60"/>
  <c r="Q51" i="60"/>
  <c r="Q30" i="60"/>
  <c r="Q113" i="60"/>
  <c r="R113" i="60"/>
  <c r="H7" i="55"/>
  <c r="Q61" i="60"/>
  <c r="Q10" i="60"/>
  <c r="I34" i="56"/>
  <c r="Q39" i="60"/>
  <c r="R39" i="60"/>
  <c r="Q154" i="60"/>
  <c r="O109" i="60"/>
  <c r="P109" i="59"/>
  <c r="G40" i="56"/>
  <c r="D23" i="55"/>
  <c r="I28" i="55"/>
  <c r="Q117" i="60"/>
  <c r="R117" i="60"/>
  <c r="G41" i="56"/>
  <c r="R42" i="59"/>
  <c r="J11" i="56"/>
  <c r="R21" i="59"/>
  <c r="R21" i="60"/>
  <c r="R130" i="59"/>
  <c r="R130" i="60"/>
  <c r="R104" i="59"/>
  <c r="J14" i="56"/>
  <c r="Q100" i="60"/>
  <c r="Q52" i="60"/>
  <c r="G9" i="55"/>
  <c r="Q50" i="60"/>
  <c r="H37" i="56"/>
  <c r="Q32" i="60"/>
  <c r="Q180" i="60"/>
  <c r="O17" i="60"/>
  <c r="G35" i="56"/>
  <c r="P17" i="59"/>
  <c r="E21" i="55"/>
  <c r="M196" i="59"/>
  <c r="R81" i="59"/>
  <c r="R52" i="59"/>
  <c r="R50" i="59"/>
  <c r="R9" i="60"/>
  <c r="R155" i="59"/>
  <c r="R155" i="60"/>
  <c r="R184" i="59"/>
  <c r="R184" i="60"/>
  <c r="R370" i="59"/>
  <c r="R159" i="59"/>
  <c r="R159" i="60"/>
  <c r="R61" i="60"/>
  <c r="J12" i="56"/>
  <c r="R108" i="59"/>
  <c r="R156" i="59"/>
  <c r="R156" i="60"/>
  <c r="R74" i="60"/>
  <c r="R36" i="59"/>
  <c r="R36" i="60"/>
  <c r="Q138" i="60"/>
  <c r="Q8" i="60"/>
  <c r="R8" i="60"/>
  <c r="D15" i="55"/>
  <c r="D14" i="55"/>
  <c r="D16" i="55"/>
  <c r="E10" i="55"/>
  <c r="E11" i="55"/>
  <c r="E13" i="55"/>
  <c r="R203" i="58"/>
  <c r="Q157" i="60"/>
  <c r="R157" i="60"/>
  <c r="Q161" i="60"/>
  <c r="R161" i="60"/>
  <c r="N5" i="60"/>
  <c r="N193" i="60"/>
  <c r="N195" i="60"/>
  <c r="O5" i="59"/>
  <c r="Q82" i="60"/>
  <c r="N193" i="59"/>
  <c r="H23" i="56"/>
  <c r="Q76" i="60"/>
  <c r="R76" i="60"/>
  <c r="Q65" i="60"/>
  <c r="R65" i="60"/>
  <c r="Q114" i="60"/>
  <c r="R114" i="60"/>
  <c r="R182" i="59"/>
  <c r="R182" i="60"/>
  <c r="R368" i="59"/>
  <c r="R47" i="59"/>
  <c r="R47" i="60"/>
  <c r="R82" i="59"/>
  <c r="R82" i="60"/>
  <c r="R175" i="59"/>
  <c r="J16" i="56"/>
  <c r="O70" i="60"/>
  <c r="P70" i="59"/>
  <c r="Q93" i="60"/>
  <c r="Q63" i="60"/>
  <c r="Q108" i="60"/>
  <c r="R120" i="59"/>
  <c r="R120" i="60"/>
  <c r="R174" i="59"/>
  <c r="R174" i="60"/>
  <c r="R75" i="59"/>
  <c r="R103" i="59"/>
  <c r="R103" i="60"/>
  <c r="R179" i="59"/>
  <c r="R179" i="60"/>
  <c r="R365" i="59"/>
  <c r="R100" i="59"/>
  <c r="R145" i="59"/>
  <c r="R145" i="60"/>
  <c r="R141" i="59"/>
  <c r="R51" i="60"/>
  <c r="R171" i="59"/>
  <c r="J7" i="56"/>
  <c r="R160" i="59"/>
  <c r="R160" i="60"/>
  <c r="R93" i="59"/>
  <c r="J5" i="55"/>
  <c r="S209" i="58"/>
  <c r="S210" i="58"/>
  <c r="S211" i="58"/>
  <c r="J20" i="56"/>
  <c r="R49" i="60"/>
  <c r="R24" i="60"/>
  <c r="R4" i="59"/>
  <c r="R4" i="60"/>
  <c r="Q186" i="60"/>
  <c r="I32" i="56"/>
  <c r="I18" i="56"/>
  <c r="Q13" i="60"/>
  <c r="R13" i="60"/>
  <c r="Q80" i="60"/>
  <c r="R80" i="60"/>
  <c r="R211" i="58"/>
  <c r="Q84" i="60"/>
  <c r="Q178" i="60"/>
  <c r="Q143" i="60"/>
  <c r="R143" i="60"/>
  <c r="Q147" i="60"/>
  <c r="Q153" i="60"/>
  <c r="R153" i="60"/>
  <c r="Q190" i="60"/>
  <c r="Q141" i="60"/>
  <c r="Q53" i="60"/>
  <c r="R53" i="60"/>
  <c r="E44" i="56"/>
  <c r="E47" i="56"/>
  <c r="S196" i="58"/>
  <c r="S193" i="58"/>
  <c r="S194" i="58"/>
  <c r="S200" i="58"/>
  <c r="J4" i="56"/>
  <c r="S202" i="58"/>
  <c r="S201" i="58"/>
  <c r="S199" i="58"/>
  <c r="J10" i="56"/>
  <c r="S207" i="58"/>
  <c r="R122" i="59"/>
  <c r="R122" i="60"/>
  <c r="R72" i="60"/>
  <c r="R148" i="60"/>
  <c r="R69" i="60"/>
  <c r="R128" i="59"/>
  <c r="O121" i="60"/>
  <c r="P121" i="59"/>
  <c r="R124" i="59"/>
  <c r="R124" i="60"/>
  <c r="R118" i="59"/>
  <c r="R118" i="60"/>
  <c r="R7" i="60"/>
  <c r="R10" i="59"/>
  <c r="J8" i="56"/>
  <c r="R30" i="59"/>
  <c r="R30" i="60"/>
  <c r="R165" i="59"/>
  <c r="J5" i="56"/>
  <c r="R83" i="59"/>
  <c r="R96" i="59"/>
  <c r="R96" i="60"/>
  <c r="R131" i="59"/>
  <c r="J9" i="56"/>
  <c r="R95" i="60"/>
  <c r="R6" i="59"/>
  <c r="R6" i="60"/>
  <c r="R90" i="59"/>
  <c r="R138" i="59"/>
  <c r="R138" i="60"/>
  <c r="R29" i="59"/>
  <c r="R29" i="60"/>
  <c r="R60" i="59"/>
  <c r="R34" i="59"/>
  <c r="R34" i="60"/>
  <c r="R176" i="59"/>
  <c r="R176" i="60"/>
  <c r="R362" i="59"/>
  <c r="R25" i="60"/>
  <c r="R78" i="59"/>
  <c r="R78" i="60"/>
  <c r="R105" i="59"/>
  <c r="R105" i="60"/>
  <c r="R167" i="59"/>
  <c r="R167" i="60"/>
  <c r="R102" i="59"/>
  <c r="R102" i="60"/>
  <c r="R137" i="59"/>
  <c r="R137" i="60"/>
  <c r="R189" i="59"/>
  <c r="R189" i="60"/>
  <c r="R166" i="59"/>
  <c r="R88" i="59"/>
  <c r="R88" i="60"/>
  <c r="R32" i="59"/>
  <c r="R32" i="60"/>
  <c r="S1" i="59"/>
  <c r="U1" i="58"/>
  <c r="T5" i="58"/>
  <c r="T8" i="58"/>
  <c r="S8" i="59"/>
  <c r="T20" i="58"/>
  <c r="S20" i="59"/>
  <c r="T35" i="58"/>
  <c r="S35" i="59"/>
  <c r="T28" i="58"/>
  <c r="S28" i="59"/>
  <c r="S28" i="60"/>
  <c r="T52" i="58"/>
  <c r="S52" i="59"/>
  <c r="T55" i="58"/>
  <c r="S55" i="59"/>
  <c r="S55" i="60"/>
  <c r="T30" i="58"/>
  <c r="S30" i="59"/>
  <c r="S30" i="60"/>
  <c r="T83" i="58"/>
  <c r="T98" i="58"/>
  <c r="S98" i="59"/>
  <c r="T101" i="58"/>
  <c r="S101" i="59"/>
  <c r="S101" i="60"/>
  <c r="T106" i="58"/>
  <c r="S106" i="59"/>
  <c r="S106" i="60"/>
  <c r="T92" i="58"/>
  <c r="S92" i="59"/>
  <c r="S92" i="60"/>
  <c r="T109" i="58"/>
  <c r="T131" i="58"/>
  <c r="T137" i="58"/>
  <c r="S137" i="59"/>
  <c r="S137" i="60"/>
  <c r="T122" i="58"/>
  <c r="S122" i="59"/>
  <c r="S122" i="60"/>
  <c r="T155" i="58"/>
  <c r="S155" i="59"/>
  <c r="S155" i="60"/>
  <c r="T164" i="58"/>
  <c r="S164" i="59"/>
  <c r="S164" i="60"/>
  <c r="T179" i="58"/>
  <c r="T187" i="58"/>
  <c r="S187" i="59"/>
  <c r="T195" i="58"/>
  <c r="T158" i="58"/>
  <c r="S158" i="59"/>
  <c r="S158" i="60"/>
  <c r="T226" i="58"/>
  <c r="S1" i="60"/>
  <c r="T228" i="58"/>
  <c r="T229" i="58"/>
  <c r="T174" i="58"/>
  <c r="T175" i="58"/>
  <c r="T160" i="58"/>
  <c r="T150" i="58"/>
  <c r="S150" i="59"/>
  <c r="S150" i="60"/>
  <c r="T168" i="58"/>
  <c r="T159" i="58"/>
  <c r="T157" i="58"/>
  <c r="S157" i="59"/>
  <c r="T127" i="58"/>
  <c r="S127" i="59"/>
  <c r="S127" i="60"/>
  <c r="T125" i="58"/>
  <c r="S125" i="59"/>
  <c r="S125" i="60"/>
  <c r="T114" i="58"/>
  <c r="S114" i="59"/>
  <c r="T136" i="58"/>
  <c r="S136" i="59"/>
  <c r="S136" i="60"/>
  <c r="T116" i="58"/>
  <c r="S116" i="59"/>
  <c r="T128" i="58"/>
  <c r="S128" i="59"/>
  <c r="T123" i="58"/>
  <c r="S123" i="59"/>
  <c r="S123" i="60"/>
  <c r="T111" i="58"/>
  <c r="S111" i="59"/>
  <c r="S111" i="60"/>
  <c r="T89" i="58"/>
  <c r="S89" i="59"/>
  <c r="T90" i="58"/>
  <c r="S90" i="59"/>
  <c r="T78" i="58"/>
  <c r="T61" i="58"/>
  <c r="S61" i="59"/>
  <c r="S61" i="60"/>
  <c r="T77" i="58"/>
  <c r="S77" i="59"/>
  <c r="S77" i="60"/>
  <c r="T44" i="58"/>
  <c r="S44" i="59"/>
  <c r="T49" i="58"/>
  <c r="S49" i="59"/>
  <c r="S49" i="60"/>
  <c r="T188" i="58"/>
  <c r="S188" i="59"/>
  <c r="S188" i="60"/>
  <c r="T181" i="58"/>
  <c r="T154" i="58"/>
  <c r="T132" i="58"/>
  <c r="T113" i="58"/>
  <c r="S113" i="59"/>
  <c r="T142" i="58"/>
  <c r="S142" i="59"/>
  <c r="T135" i="58"/>
  <c r="S135" i="59"/>
  <c r="S135" i="60"/>
  <c r="T130" i="58"/>
  <c r="T120" i="58"/>
  <c r="S120" i="59"/>
  <c r="S120" i="60"/>
  <c r="T94" i="58"/>
  <c r="S94" i="59"/>
  <c r="S94" i="60"/>
  <c r="T68" i="58"/>
  <c r="S68" i="59"/>
  <c r="S68" i="60"/>
  <c r="T53" i="58"/>
  <c r="S53" i="59"/>
  <c r="T184" i="58"/>
  <c r="T178" i="58"/>
  <c r="T117" i="58"/>
  <c r="S117" i="59"/>
  <c r="T167" i="58"/>
  <c r="T162" i="58"/>
  <c r="S162" i="59"/>
  <c r="T140" i="58"/>
  <c r="S140" i="59"/>
  <c r="S140" i="60"/>
  <c r="T121" i="58"/>
  <c r="T100" i="58"/>
  <c r="S100" i="59"/>
  <c r="T108" i="58"/>
  <c r="S108" i="59"/>
  <c r="T115" i="58"/>
  <c r="S115" i="59"/>
  <c r="T165" i="58"/>
  <c r="T176" i="58"/>
  <c r="T171" i="58"/>
  <c r="T166" i="58"/>
  <c r="S166" i="59"/>
  <c r="T133" i="58"/>
  <c r="S133" i="59"/>
  <c r="T119" i="58"/>
  <c r="T152" i="58"/>
  <c r="S152" i="59"/>
  <c r="S152" i="60"/>
  <c r="T183" i="58"/>
  <c r="T170" i="58"/>
  <c r="S170" i="59"/>
  <c r="T190" i="58"/>
  <c r="S190" i="59"/>
  <c r="T153" i="58"/>
  <c r="S153" i="59"/>
  <c r="T169" i="58"/>
  <c r="S169" i="59"/>
  <c r="T149" i="58"/>
  <c r="S149" i="59"/>
  <c r="S149" i="60"/>
  <c r="T139" i="58"/>
  <c r="S139" i="59"/>
  <c r="T110" i="58"/>
  <c r="S110" i="59"/>
  <c r="S110" i="60"/>
  <c r="T107" i="58"/>
  <c r="S107" i="59"/>
  <c r="T95" i="58"/>
  <c r="T59" i="58"/>
  <c r="S59" i="59"/>
  <c r="S59" i="60"/>
  <c r="T50" i="58"/>
  <c r="S50" i="59"/>
  <c r="T87" i="58"/>
  <c r="S87" i="59"/>
  <c r="S87" i="60"/>
  <c r="T58" i="58"/>
  <c r="T63" i="58"/>
  <c r="S63" i="59"/>
  <c r="T56" i="58"/>
  <c r="S56" i="59"/>
  <c r="S56" i="60"/>
  <c r="T51" i="58"/>
  <c r="S51" i="59"/>
  <c r="T29" i="58"/>
  <c r="S29" i="59"/>
  <c r="S29" i="60"/>
  <c r="T13" i="58"/>
  <c r="S13" i="59"/>
  <c r="T11" i="58"/>
  <c r="T3" i="58"/>
  <c r="T4" i="58"/>
  <c r="S4" i="59"/>
  <c r="S4" i="60"/>
  <c r="T186" i="58"/>
  <c r="T104" i="58"/>
  <c r="T62" i="58"/>
  <c r="S62" i="59"/>
  <c r="S62" i="60"/>
  <c r="T191" i="58"/>
  <c r="T182" i="58"/>
  <c r="T144" i="58"/>
  <c r="S144" i="59"/>
  <c r="S144" i="60"/>
  <c r="T102" i="58"/>
  <c r="T86" i="58"/>
  <c r="S86" i="59"/>
  <c r="T82" i="58"/>
  <c r="T69" i="58"/>
  <c r="T65" i="58"/>
  <c r="S65" i="59"/>
  <c r="T42" i="58"/>
  <c r="T36" i="58"/>
  <c r="S36" i="59"/>
  <c r="S36" i="60"/>
  <c r="T21" i="58"/>
  <c r="S21" i="59"/>
  <c r="S21" i="60"/>
  <c r="T23" i="58"/>
  <c r="S23" i="59"/>
  <c r="S23" i="60"/>
  <c r="T15" i="58"/>
  <c r="S15" i="59"/>
  <c r="S15" i="60"/>
  <c r="T6" i="58"/>
  <c r="S6" i="59"/>
  <c r="S6" i="60"/>
  <c r="T172" i="58"/>
  <c r="S172" i="59"/>
  <c r="S172" i="60"/>
  <c r="T93" i="58"/>
  <c r="S93" i="59"/>
  <c r="T32" i="58"/>
  <c r="S32" i="59"/>
  <c r="T84" i="58"/>
  <c r="T134" i="58"/>
  <c r="T143" i="58"/>
  <c r="S143" i="59"/>
  <c r="T112" i="58"/>
  <c r="S112" i="59"/>
  <c r="T105" i="58"/>
  <c r="S105" i="59"/>
  <c r="S105" i="60"/>
  <c r="T97" i="58"/>
  <c r="S97" i="59"/>
  <c r="T43" i="58"/>
  <c r="S43" i="59"/>
  <c r="S43" i="60"/>
  <c r="T25" i="58"/>
  <c r="T16" i="58"/>
  <c r="T24" i="58"/>
  <c r="T126" i="58"/>
  <c r="S126" i="59"/>
  <c r="S126" i="60"/>
  <c r="T46" i="58"/>
  <c r="S46" i="59"/>
  <c r="S46" i="60"/>
  <c r="T163" i="58"/>
  <c r="S163" i="59"/>
  <c r="S163" i="60"/>
  <c r="T177" i="58"/>
  <c r="T173" i="58"/>
  <c r="S173" i="59"/>
  <c r="S173" i="60"/>
  <c r="T185" i="58"/>
  <c r="S185" i="59"/>
  <c r="S185" i="60"/>
  <c r="T138" i="58"/>
  <c r="T91" i="58"/>
  <c r="S91" i="59"/>
  <c r="T96" i="58"/>
  <c r="S96" i="59"/>
  <c r="S96" i="60"/>
  <c r="T73" i="58"/>
  <c r="S73" i="59"/>
  <c r="S73" i="60"/>
  <c r="T67" i="58"/>
  <c r="S67" i="59"/>
  <c r="T60" i="58"/>
  <c r="S60" i="59"/>
  <c r="T80" i="58"/>
  <c r="S80" i="59"/>
  <c r="T57" i="58"/>
  <c r="S57" i="59"/>
  <c r="S57" i="60"/>
  <c r="T34" i="58"/>
  <c r="S34" i="59"/>
  <c r="S34" i="60"/>
  <c r="T19" i="58"/>
  <c r="S19" i="59"/>
  <c r="S19" i="60"/>
  <c r="T7" i="58"/>
  <c r="S7" i="59"/>
  <c r="T31" i="58"/>
  <c r="S31" i="59"/>
  <c r="S31" i="60"/>
  <c r="T14" i="58"/>
  <c r="S14" i="59"/>
  <c r="S14" i="60"/>
  <c r="T12" i="58"/>
  <c r="S12" i="59"/>
  <c r="S12" i="60"/>
  <c r="T9" i="58"/>
  <c r="S9" i="59"/>
  <c r="S9" i="60"/>
  <c r="T45" i="58"/>
  <c r="T10" i="58"/>
  <c r="T180" i="58"/>
  <c r="T189" i="58"/>
  <c r="S189" i="59"/>
  <c r="S189" i="60"/>
  <c r="T161" i="58"/>
  <c r="S161" i="59"/>
  <c r="T146" i="58"/>
  <c r="T147" i="58"/>
  <c r="S147" i="59"/>
  <c r="T118" i="58"/>
  <c r="S118" i="59"/>
  <c r="S118" i="60"/>
  <c r="T76" i="58"/>
  <c r="S76" i="59"/>
  <c r="T88" i="58"/>
  <c r="T99" i="58"/>
  <c r="S99" i="59"/>
  <c r="T71" i="58"/>
  <c r="S71" i="59"/>
  <c r="S71" i="60"/>
  <c r="T85" i="58"/>
  <c r="S85" i="59"/>
  <c r="S85" i="60"/>
  <c r="T64" i="58"/>
  <c r="T54" i="58"/>
  <c r="T48" i="58"/>
  <c r="S48" i="59"/>
  <c r="S48" i="60"/>
  <c r="T38" i="58"/>
  <c r="S38" i="59"/>
  <c r="T40" i="58"/>
  <c r="S40" i="59"/>
  <c r="T39" i="58"/>
  <c r="S39" i="59"/>
  <c r="T156" i="58"/>
  <c r="T66" i="58"/>
  <c r="T74" i="58"/>
  <c r="T47" i="58"/>
  <c r="S47" i="59"/>
  <c r="T26" i="58"/>
  <c r="S26" i="59"/>
  <c r="S26" i="60"/>
  <c r="T27" i="58"/>
  <c r="S27" i="59"/>
  <c r="S27" i="60"/>
  <c r="T124" i="58"/>
  <c r="S124" i="59"/>
  <c r="S124" i="60"/>
  <c r="T129" i="58"/>
  <c r="T41" i="58"/>
  <c r="S41" i="59"/>
  <c r="T70" i="58"/>
  <c r="S70" i="59"/>
  <c r="T81" i="58"/>
  <c r="S81" i="59"/>
  <c r="T22" i="58"/>
  <c r="S22" i="59"/>
  <c r="T33" i="58"/>
  <c r="S33" i="59"/>
  <c r="T145" i="58"/>
  <c r="S145" i="59"/>
  <c r="S145" i="60"/>
  <c r="T37" i="58"/>
  <c r="S37" i="59"/>
  <c r="T151" i="58"/>
  <c r="T103" i="58"/>
  <c r="S103" i="59"/>
  <c r="S103" i="60"/>
  <c r="T18" i="58"/>
  <c r="S18" i="59"/>
  <c r="S18" i="60"/>
  <c r="T75" i="58"/>
  <c r="S75" i="59"/>
  <c r="T17" i="58"/>
  <c r="T79" i="58"/>
  <c r="S79" i="59"/>
  <c r="T141" i="58"/>
  <c r="S141" i="59"/>
  <c r="T148" i="58"/>
  <c r="S148" i="59"/>
  <c r="T72" i="58"/>
  <c r="S72" i="59"/>
  <c r="S72" i="60"/>
  <c r="Q165" i="60"/>
  <c r="I31" i="56"/>
  <c r="Q116" i="60"/>
  <c r="R116" i="60"/>
  <c r="Q75" i="60"/>
  <c r="M196" i="60"/>
  <c r="E18" i="55"/>
  <c r="E19" i="55"/>
  <c r="O79" i="60"/>
  <c r="P79" i="59"/>
  <c r="Q133" i="60"/>
  <c r="R133" i="60"/>
  <c r="O33" i="60"/>
  <c r="P33" i="59"/>
  <c r="Q162" i="60"/>
  <c r="R162" i="60"/>
  <c r="Q104" i="60"/>
  <c r="Q44" i="60"/>
  <c r="R44" i="60"/>
  <c r="Q131" i="60"/>
  <c r="Q35" i="60"/>
  <c r="R35" i="60"/>
  <c r="Q38" i="60"/>
  <c r="R38" i="60"/>
  <c r="Q107" i="60"/>
  <c r="R107" i="60"/>
  <c r="Q169" i="60"/>
  <c r="R169" i="60"/>
  <c r="Q89" i="60"/>
  <c r="R89" i="60"/>
  <c r="O3" i="60"/>
  <c r="O193" i="59"/>
  <c r="G30" i="56"/>
  <c r="G36" i="56"/>
  <c r="P3" i="59"/>
  <c r="Q142" i="60"/>
  <c r="R142" i="60"/>
  <c r="Q67" i="60"/>
  <c r="R67" i="60"/>
  <c r="Q139" i="60"/>
  <c r="R139" i="60"/>
  <c r="S156" i="59"/>
  <c r="S156" i="60"/>
  <c r="S16" i="59"/>
  <c r="S16" i="60"/>
  <c r="S65" i="60"/>
  <c r="S159" i="59"/>
  <c r="S159" i="60"/>
  <c r="J18" i="56"/>
  <c r="I39" i="56"/>
  <c r="R52" i="60"/>
  <c r="G44" i="56"/>
  <c r="G47" i="56"/>
  <c r="R180" i="60"/>
  <c r="R187" i="60"/>
  <c r="S187" i="60"/>
  <c r="S170" i="60"/>
  <c r="R97" i="59"/>
  <c r="R97" i="60"/>
  <c r="R112" i="60"/>
  <c r="S112" i="60"/>
  <c r="S40" i="60"/>
  <c r="S82" i="59"/>
  <c r="S82" i="60"/>
  <c r="S53" i="60"/>
  <c r="S89" i="60"/>
  <c r="S97" i="60"/>
  <c r="S32" i="60"/>
  <c r="S113" i="60"/>
  <c r="R131" i="60"/>
  <c r="E49" i="56"/>
  <c r="S167" i="59"/>
  <c r="S167" i="60"/>
  <c r="L372" i="59"/>
  <c r="L375" i="59"/>
  <c r="L377" i="59"/>
  <c r="L379" i="59"/>
  <c r="R154" i="60"/>
  <c r="F47" i="56"/>
  <c r="F49" i="56"/>
  <c r="S25" i="59"/>
  <c r="N196" i="60"/>
  <c r="F18" i="55"/>
  <c r="F19" i="55"/>
  <c r="S91" i="60"/>
  <c r="S86" i="60"/>
  <c r="S104" i="59"/>
  <c r="K14" i="56"/>
  <c r="S165" i="59"/>
  <c r="K5" i="56"/>
  <c r="S162" i="60"/>
  <c r="S44" i="60"/>
  <c r="S160" i="59"/>
  <c r="S160" i="60"/>
  <c r="S52" i="60"/>
  <c r="V1" i="58"/>
  <c r="T1" i="59"/>
  <c r="U14" i="58"/>
  <c r="U32" i="58"/>
  <c r="T32" i="59"/>
  <c r="U28" i="58"/>
  <c r="T28" i="59"/>
  <c r="T28" i="60"/>
  <c r="U35" i="58"/>
  <c r="T35" i="59"/>
  <c r="U29" i="58"/>
  <c r="T29" i="59"/>
  <c r="T29" i="60"/>
  <c r="U34" i="58"/>
  <c r="U31" i="58"/>
  <c r="T31" i="59"/>
  <c r="T31" i="60"/>
  <c r="U36" i="58"/>
  <c r="T36" i="59"/>
  <c r="T36" i="60"/>
  <c r="U48" i="58"/>
  <c r="U54" i="58"/>
  <c r="U74" i="58"/>
  <c r="U77" i="58"/>
  <c r="T77" i="59"/>
  <c r="T77" i="60"/>
  <c r="U80" i="58"/>
  <c r="T80" i="59"/>
  <c r="U85" i="58"/>
  <c r="T85" i="59"/>
  <c r="T85" i="60"/>
  <c r="U96" i="58"/>
  <c r="T96" i="59"/>
  <c r="T96" i="60"/>
  <c r="U93" i="58"/>
  <c r="T93" i="59"/>
  <c r="U87" i="58"/>
  <c r="T87" i="59"/>
  <c r="T87" i="60"/>
  <c r="U102" i="58"/>
  <c r="U123" i="58"/>
  <c r="T123" i="59"/>
  <c r="T123" i="60"/>
  <c r="U128" i="58"/>
  <c r="T128" i="59"/>
  <c r="U105" i="58"/>
  <c r="T105" i="59"/>
  <c r="T105" i="60"/>
  <c r="U135" i="58"/>
  <c r="T135" i="59"/>
  <c r="T135" i="60"/>
  <c r="U142" i="58"/>
  <c r="T142" i="59"/>
  <c r="U156" i="58"/>
  <c r="U164" i="58"/>
  <c r="T164" i="59"/>
  <c r="T164" i="60"/>
  <c r="U168" i="58"/>
  <c r="U159" i="58"/>
  <c r="T159" i="59"/>
  <c r="T159" i="60"/>
  <c r="U170" i="58"/>
  <c r="T170" i="59"/>
  <c r="T170" i="60"/>
  <c r="U195" i="58"/>
  <c r="T1" i="60"/>
  <c r="U226" i="58"/>
  <c r="U228" i="58"/>
  <c r="U191" i="58"/>
  <c r="U190" i="58"/>
  <c r="T190" i="59"/>
  <c r="U176" i="58"/>
  <c r="U187" i="58"/>
  <c r="T187" i="59"/>
  <c r="U183" i="58"/>
  <c r="U179" i="58"/>
  <c r="U175" i="58"/>
  <c r="U166" i="58"/>
  <c r="U160" i="58"/>
  <c r="U172" i="58"/>
  <c r="T172" i="59"/>
  <c r="T172" i="60"/>
  <c r="U146" i="58"/>
  <c r="U126" i="58"/>
  <c r="T126" i="59"/>
  <c r="T126" i="60"/>
  <c r="U157" i="58"/>
  <c r="T157" i="59"/>
  <c r="U84" i="58"/>
  <c r="U136" i="58"/>
  <c r="T136" i="59"/>
  <c r="T136" i="60"/>
  <c r="U118" i="58"/>
  <c r="U108" i="58"/>
  <c r="U107" i="58"/>
  <c r="T107" i="59"/>
  <c r="U119" i="58"/>
  <c r="U76" i="58"/>
  <c r="T76" i="59"/>
  <c r="U106" i="58"/>
  <c r="U92" i="58"/>
  <c r="U67" i="58"/>
  <c r="T67" i="59"/>
  <c r="U60" i="58"/>
  <c r="T60" i="59"/>
  <c r="U50" i="58"/>
  <c r="T50" i="59"/>
  <c r="U57" i="58"/>
  <c r="T57" i="59"/>
  <c r="T57" i="60"/>
  <c r="U46" i="58"/>
  <c r="T46" i="59"/>
  <c r="T46" i="60"/>
  <c r="U40" i="58"/>
  <c r="T40" i="59"/>
  <c r="T40" i="60"/>
  <c r="U152" i="58"/>
  <c r="T152" i="59"/>
  <c r="T152" i="60"/>
  <c r="U117" i="58"/>
  <c r="T117" i="59"/>
  <c r="U182" i="58"/>
  <c r="U181" i="58"/>
  <c r="U154" i="58"/>
  <c r="U138" i="58"/>
  <c r="U120" i="58"/>
  <c r="T120" i="59"/>
  <c r="T120" i="60"/>
  <c r="U104" i="58"/>
  <c r="U73" i="58"/>
  <c r="T73" i="59"/>
  <c r="T73" i="60"/>
  <c r="U95" i="58"/>
  <c r="U109" i="58"/>
  <c r="U94" i="58"/>
  <c r="T94" i="59"/>
  <c r="T94" i="60"/>
  <c r="U71" i="58"/>
  <c r="T71" i="59"/>
  <c r="T71" i="60"/>
  <c r="U184" i="58"/>
  <c r="U178" i="58"/>
  <c r="U171" i="58"/>
  <c r="U169" i="58"/>
  <c r="T169" i="59"/>
  <c r="U162" i="58"/>
  <c r="U147" i="58"/>
  <c r="T147" i="59"/>
  <c r="U113" i="58"/>
  <c r="U140" i="58"/>
  <c r="T140" i="59"/>
  <c r="T140" i="60"/>
  <c r="U137" i="58"/>
  <c r="U131" i="58"/>
  <c r="U143" i="58"/>
  <c r="T143" i="59"/>
  <c r="U114" i="58"/>
  <c r="T114" i="59"/>
  <c r="U134" i="58"/>
  <c r="U111" i="58"/>
  <c r="T111" i="59"/>
  <c r="T111" i="60"/>
  <c r="U229" i="58"/>
  <c r="U180" i="58"/>
  <c r="U173" i="58"/>
  <c r="U186" i="58"/>
  <c r="U185" i="58"/>
  <c r="U163" i="58"/>
  <c r="T163" i="59"/>
  <c r="T163" i="60"/>
  <c r="U133" i="58"/>
  <c r="T133" i="59"/>
  <c r="U144" i="58"/>
  <c r="T144" i="59"/>
  <c r="T144" i="60"/>
  <c r="U188" i="58"/>
  <c r="T188" i="59"/>
  <c r="T188" i="60"/>
  <c r="U177" i="58"/>
  <c r="U122" i="58"/>
  <c r="U127" i="58"/>
  <c r="T127" i="59"/>
  <c r="T127" i="60"/>
  <c r="U90" i="58"/>
  <c r="T90" i="59"/>
  <c r="U99" i="58"/>
  <c r="T99" i="59"/>
  <c r="U89" i="58"/>
  <c r="T89" i="59"/>
  <c r="T89" i="60"/>
  <c r="U83" i="58"/>
  <c r="T83" i="59"/>
  <c r="U55" i="58"/>
  <c r="T55" i="59"/>
  <c r="T55" i="60"/>
  <c r="U39" i="58"/>
  <c r="T39" i="59"/>
  <c r="T39" i="60"/>
  <c r="U24" i="58"/>
  <c r="U16" i="58"/>
  <c r="T16" i="59"/>
  <c r="T16" i="60"/>
  <c r="U23" i="58"/>
  <c r="T23" i="59"/>
  <c r="T23" i="60"/>
  <c r="U20" i="58"/>
  <c r="T20" i="59"/>
  <c r="U6" i="58"/>
  <c r="T6" i="59"/>
  <c r="T6" i="60"/>
  <c r="U153" i="58"/>
  <c r="T153" i="59"/>
  <c r="U125" i="58"/>
  <c r="T125" i="59"/>
  <c r="T125" i="60"/>
  <c r="U100" i="58"/>
  <c r="T100" i="59"/>
  <c r="U91" i="58"/>
  <c r="T91" i="59"/>
  <c r="U8" i="58"/>
  <c r="T8" i="59"/>
  <c r="U167" i="58"/>
  <c r="T167" i="59"/>
  <c r="T167" i="60"/>
  <c r="U155" i="58"/>
  <c r="T155" i="59"/>
  <c r="T155" i="60"/>
  <c r="U149" i="58"/>
  <c r="T149" i="59"/>
  <c r="T149" i="60"/>
  <c r="U112" i="58"/>
  <c r="U98" i="58"/>
  <c r="U69" i="58"/>
  <c r="U47" i="58"/>
  <c r="T47" i="59"/>
  <c r="U19" i="58"/>
  <c r="T19" i="59"/>
  <c r="T19" i="60"/>
  <c r="U7" i="58"/>
  <c r="T7" i="59"/>
  <c r="U12" i="58"/>
  <c r="T12" i="59"/>
  <c r="T12" i="60"/>
  <c r="U9" i="58"/>
  <c r="T9" i="59"/>
  <c r="T9" i="60"/>
  <c r="U4" i="58"/>
  <c r="T4" i="59"/>
  <c r="T4" i="60"/>
  <c r="U174" i="58"/>
  <c r="U130" i="58"/>
  <c r="U101" i="58"/>
  <c r="T101" i="59"/>
  <c r="T101" i="60"/>
  <c r="U88" i="58"/>
  <c r="U58" i="58"/>
  <c r="U51" i="58"/>
  <c r="T51" i="59"/>
  <c r="U43" i="58"/>
  <c r="T43" i="59"/>
  <c r="T43" i="60"/>
  <c r="U49" i="58"/>
  <c r="T49" i="59"/>
  <c r="T49" i="60"/>
  <c r="U21" i="58"/>
  <c r="T21" i="59"/>
  <c r="T21" i="60"/>
  <c r="U10" i="58"/>
  <c r="U5" i="58"/>
  <c r="U116" i="58"/>
  <c r="U62" i="58"/>
  <c r="T62" i="59"/>
  <c r="T62" i="60"/>
  <c r="U63" i="58"/>
  <c r="T63" i="59"/>
  <c r="U65" i="58"/>
  <c r="U44" i="58"/>
  <c r="T44" i="59"/>
  <c r="T44" i="60"/>
  <c r="U42" i="58"/>
  <c r="U26" i="58"/>
  <c r="T26" i="59"/>
  <c r="T26" i="60"/>
  <c r="U189" i="58"/>
  <c r="T189" i="59"/>
  <c r="T189" i="60"/>
  <c r="U139" i="58"/>
  <c r="T139" i="59"/>
  <c r="U110" i="58"/>
  <c r="T110" i="59"/>
  <c r="T110" i="60"/>
  <c r="U115" i="58"/>
  <c r="T115" i="59"/>
  <c r="U52" i="58"/>
  <c r="U15" i="58"/>
  <c r="T15" i="59"/>
  <c r="T15" i="60"/>
  <c r="U45" i="58"/>
  <c r="U25" i="58"/>
  <c r="T25" i="59"/>
  <c r="U13" i="58"/>
  <c r="T13" i="59"/>
  <c r="U11" i="58"/>
  <c r="U165" i="58"/>
  <c r="U158" i="58"/>
  <c r="T158" i="59"/>
  <c r="T158" i="60"/>
  <c r="U132" i="58"/>
  <c r="U121" i="58"/>
  <c r="U97" i="58"/>
  <c r="T97" i="59"/>
  <c r="T97" i="60"/>
  <c r="U86" i="58"/>
  <c r="T86" i="59"/>
  <c r="T86" i="60"/>
  <c r="U82" i="58"/>
  <c r="T82" i="59"/>
  <c r="T82" i="60"/>
  <c r="U78" i="58"/>
  <c r="U59" i="58"/>
  <c r="T59" i="59"/>
  <c r="T59" i="60"/>
  <c r="U61" i="58"/>
  <c r="T61" i="59"/>
  <c r="T61" i="60"/>
  <c r="U53" i="58"/>
  <c r="T53" i="59"/>
  <c r="U64" i="58"/>
  <c r="U56" i="58"/>
  <c r="T56" i="59"/>
  <c r="T56" i="60"/>
  <c r="U38" i="58"/>
  <c r="T38" i="59"/>
  <c r="U30" i="58"/>
  <c r="T30" i="59"/>
  <c r="T30" i="60"/>
  <c r="U161" i="58"/>
  <c r="U150" i="58"/>
  <c r="T150" i="59"/>
  <c r="T150" i="60"/>
  <c r="U68" i="58"/>
  <c r="U66" i="58"/>
  <c r="U3" i="58"/>
  <c r="U41" i="58"/>
  <c r="T41" i="59"/>
  <c r="U81" i="58"/>
  <c r="T81" i="59"/>
  <c r="U141" i="58"/>
  <c r="U151" i="58"/>
  <c r="U103" i="58"/>
  <c r="T103" i="59"/>
  <c r="T103" i="60"/>
  <c r="U79" i="58"/>
  <c r="T79" i="59"/>
  <c r="U148" i="58"/>
  <c r="T148" i="59"/>
  <c r="U17" i="58"/>
  <c r="U70" i="58"/>
  <c r="U22" i="58"/>
  <c r="T22" i="59"/>
  <c r="U33" i="58"/>
  <c r="T33" i="59"/>
  <c r="U18" i="58"/>
  <c r="T18" i="59"/>
  <c r="T18" i="60"/>
  <c r="U72" i="58"/>
  <c r="T72" i="59"/>
  <c r="T72" i="60"/>
  <c r="U27" i="58"/>
  <c r="T27" i="59"/>
  <c r="T27" i="60"/>
  <c r="U124" i="58"/>
  <c r="T124" i="59"/>
  <c r="T124" i="60"/>
  <c r="U37" i="58"/>
  <c r="T37" i="59"/>
  <c r="U129" i="58"/>
  <c r="U75" i="58"/>
  <c r="T75" i="59"/>
  <c r="U145" i="58"/>
  <c r="T145" i="59"/>
  <c r="T145" i="60"/>
  <c r="R166" i="60"/>
  <c r="S166" i="60"/>
  <c r="J25" i="56"/>
  <c r="R141" i="60"/>
  <c r="S141" i="60"/>
  <c r="R175" i="60"/>
  <c r="J42" i="56"/>
  <c r="O5" i="60"/>
  <c r="O193" i="60"/>
  <c r="O195" i="60"/>
  <c r="P5" i="59"/>
  <c r="H30" i="56"/>
  <c r="R81" i="60"/>
  <c r="I7" i="55"/>
  <c r="R63" i="60"/>
  <c r="S63" i="60"/>
  <c r="S39" i="60"/>
  <c r="S45" i="59"/>
  <c r="S45" i="60"/>
  <c r="S177" i="59"/>
  <c r="S177" i="60"/>
  <c r="S363" i="59"/>
  <c r="S69" i="59"/>
  <c r="S148" i="60"/>
  <c r="S84" i="59"/>
  <c r="K13" i="56"/>
  <c r="S139" i="60"/>
  <c r="S176" i="59"/>
  <c r="S176" i="60"/>
  <c r="S362" i="59"/>
  <c r="S142" i="60"/>
  <c r="S114" i="60"/>
  <c r="R165" i="60"/>
  <c r="J31" i="56"/>
  <c r="F21" i="55"/>
  <c r="N196" i="59"/>
  <c r="E16" i="55"/>
  <c r="E15" i="55"/>
  <c r="E14" i="55"/>
  <c r="S151" i="59"/>
  <c r="S151" i="60"/>
  <c r="S47" i="60"/>
  <c r="S99" i="60"/>
  <c r="P3" i="60"/>
  <c r="Q3" i="59"/>
  <c r="S41" i="60"/>
  <c r="S74" i="59"/>
  <c r="S74" i="60"/>
  <c r="S88" i="59"/>
  <c r="S88" i="60"/>
  <c r="S80" i="60"/>
  <c r="S138" i="59"/>
  <c r="S138" i="60"/>
  <c r="S102" i="59"/>
  <c r="S102" i="60"/>
  <c r="S186" i="59"/>
  <c r="K6" i="56"/>
  <c r="S51" i="60"/>
  <c r="S169" i="60"/>
  <c r="S119" i="59"/>
  <c r="S119" i="60"/>
  <c r="S115" i="60"/>
  <c r="S132" i="59"/>
  <c r="S132" i="60"/>
  <c r="S175" i="59"/>
  <c r="K16" i="56"/>
  <c r="R90" i="60"/>
  <c r="S90" i="60"/>
  <c r="R171" i="60"/>
  <c r="J33" i="56"/>
  <c r="R108" i="60"/>
  <c r="M198" i="59"/>
  <c r="M200" i="59"/>
  <c r="M197" i="59"/>
  <c r="F10" i="55"/>
  <c r="F11" i="55"/>
  <c r="F13" i="55"/>
  <c r="R104" i="60"/>
  <c r="U221" i="58"/>
  <c r="V218" i="58"/>
  <c r="S134" i="59"/>
  <c r="K15" i="56"/>
  <c r="S191" i="59"/>
  <c r="S58" i="59"/>
  <c r="S58" i="60"/>
  <c r="S184" i="59"/>
  <c r="S184" i="60"/>
  <c r="S370" i="59"/>
  <c r="S168" i="59"/>
  <c r="S168" i="60"/>
  <c r="S179" i="59"/>
  <c r="S179" i="60"/>
  <c r="S365" i="59"/>
  <c r="S8" i="60"/>
  <c r="P121" i="60"/>
  <c r="Q121" i="59"/>
  <c r="P109" i="60"/>
  <c r="Q109" i="59"/>
  <c r="H40" i="56"/>
  <c r="G21" i="55"/>
  <c r="O196" i="59"/>
  <c r="S81" i="60"/>
  <c r="S183" i="59"/>
  <c r="S183" i="60"/>
  <c r="S369" i="59"/>
  <c r="I23" i="56"/>
  <c r="R186" i="60"/>
  <c r="J32" i="56"/>
  <c r="P33" i="60"/>
  <c r="Q33" i="59"/>
  <c r="S66" i="59"/>
  <c r="K12" i="56"/>
  <c r="S76" i="60"/>
  <c r="S60" i="60"/>
  <c r="S24" i="59"/>
  <c r="S24" i="60"/>
  <c r="S42" i="59"/>
  <c r="K11" i="56"/>
  <c r="S95" i="59"/>
  <c r="S153" i="60"/>
  <c r="S133" i="60"/>
  <c r="S108" i="60"/>
  <c r="S117" i="60"/>
  <c r="S154" i="59"/>
  <c r="S154" i="60"/>
  <c r="S157" i="60"/>
  <c r="S174" i="59"/>
  <c r="S174" i="60"/>
  <c r="K5" i="55"/>
  <c r="K20" i="56"/>
  <c r="T209" i="58"/>
  <c r="T210" i="58"/>
  <c r="S35" i="60"/>
  <c r="R60" i="60"/>
  <c r="R83" i="60"/>
  <c r="R128" i="60"/>
  <c r="S128" i="60"/>
  <c r="J4" i="55"/>
  <c r="J19" i="56"/>
  <c r="E23" i="55"/>
  <c r="J28" i="55"/>
  <c r="R42" i="60"/>
  <c r="J37" i="56"/>
  <c r="P20" i="60"/>
  <c r="Q20" i="59"/>
  <c r="K8" i="55"/>
  <c r="P79" i="60"/>
  <c r="Q79" i="59"/>
  <c r="S11" i="59"/>
  <c r="S11" i="60"/>
  <c r="S171" i="59"/>
  <c r="K7" i="56"/>
  <c r="J6" i="55"/>
  <c r="J22" i="55"/>
  <c r="S214" i="58"/>
  <c r="J21" i="56"/>
  <c r="R178" i="60"/>
  <c r="Q216" i="58"/>
  <c r="R213" i="58"/>
  <c r="S146" i="59"/>
  <c r="S146" i="60"/>
  <c r="S13" i="60"/>
  <c r="H9" i="55"/>
  <c r="R98" i="60"/>
  <c r="S98" i="60"/>
  <c r="P129" i="60"/>
  <c r="Q129" i="59"/>
  <c r="P66" i="60"/>
  <c r="H38" i="56"/>
  <c r="Q66" i="59"/>
  <c r="R147" i="60"/>
  <c r="S147" i="60"/>
  <c r="S38" i="60"/>
  <c r="S161" i="60"/>
  <c r="S17" i="59"/>
  <c r="K9" i="56"/>
  <c r="S54" i="59"/>
  <c r="S54" i="60"/>
  <c r="S180" i="59"/>
  <c r="S180" i="60"/>
  <c r="S366" i="59"/>
  <c r="G49" i="56"/>
  <c r="S64" i="59"/>
  <c r="S64" i="60"/>
  <c r="S10" i="59"/>
  <c r="K8" i="56"/>
  <c r="S7" i="60"/>
  <c r="S67" i="60"/>
  <c r="S143" i="60"/>
  <c r="S182" i="59"/>
  <c r="S182" i="60"/>
  <c r="S368" i="59"/>
  <c r="T199" i="58"/>
  <c r="T194" i="58"/>
  <c r="T200" i="58"/>
  <c r="T193" i="58"/>
  <c r="T202" i="58"/>
  <c r="T196" i="58"/>
  <c r="K10" i="56"/>
  <c r="T201" i="58"/>
  <c r="T207" i="58"/>
  <c r="K4" i="56"/>
  <c r="S107" i="60"/>
  <c r="S178" i="59"/>
  <c r="S364" i="59"/>
  <c r="S130" i="59"/>
  <c r="S130" i="60"/>
  <c r="S181" i="59"/>
  <c r="S181" i="60"/>
  <c r="S367" i="59"/>
  <c r="S78" i="59"/>
  <c r="S78" i="60"/>
  <c r="S116" i="60"/>
  <c r="S131" i="59"/>
  <c r="S131" i="60"/>
  <c r="S83" i="59"/>
  <c r="R10" i="60"/>
  <c r="J34" i="56"/>
  <c r="S203" i="58"/>
  <c r="J3" i="55"/>
  <c r="S198" i="58"/>
  <c r="S205" i="58"/>
  <c r="O26" i="55"/>
  <c r="O27" i="55"/>
  <c r="R93" i="60"/>
  <c r="S93" i="60"/>
  <c r="R100" i="60"/>
  <c r="S100" i="60"/>
  <c r="R75" i="60"/>
  <c r="S75" i="60"/>
  <c r="P70" i="60"/>
  <c r="Q70" i="59"/>
  <c r="R50" i="60"/>
  <c r="S50" i="60"/>
  <c r="P17" i="60"/>
  <c r="H35" i="56"/>
  <c r="Q17" i="59"/>
  <c r="R134" i="60"/>
  <c r="J41" i="56"/>
  <c r="R84" i="60"/>
  <c r="J39" i="56"/>
  <c r="R190" i="60"/>
  <c r="S190" i="60"/>
  <c r="I25" i="56"/>
  <c r="P37" i="60"/>
  <c r="Q37" i="59"/>
  <c r="P22" i="60"/>
  <c r="Q22" i="59"/>
  <c r="L376" i="59"/>
  <c r="P193" i="59"/>
  <c r="T32" i="60"/>
  <c r="T187" i="60"/>
  <c r="H36" i="56"/>
  <c r="T115" i="60"/>
  <c r="T88" i="59"/>
  <c r="T88" i="60"/>
  <c r="T99" i="60"/>
  <c r="T169" i="60"/>
  <c r="T154" i="59"/>
  <c r="T154" i="60"/>
  <c r="T142" i="60"/>
  <c r="T74" i="59"/>
  <c r="T74" i="60"/>
  <c r="S178" i="60"/>
  <c r="M372" i="59"/>
  <c r="T53" i="60"/>
  <c r="T13" i="60"/>
  <c r="T7" i="60"/>
  <c r="T95" i="59"/>
  <c r="T76" i="60"/>
  <c r="T54" i="59"/>
  <c r="T54" i="60"/>
  <c r="F16" i="55"/>
  <c r="F15" i="55"/>
  <c r="F14" i="55"/>
  <c r="G10" i="55"/>
  <c r="G11" i="55"/>
  <c r="G13" i="55"/>
  <c r="R216" i="58"/>
  <c r="S213" i="58"/>
  <c r="G18" i="55"/>
  <c r="G19" i="55"/>
  <c r="O196" i="60"/>
  <c r="Q37" i="60"/>
  <c r="R37" i="59"/>
  <c r="T151" i="59"/>
  <c r="T151" i="60"/>
  <c r="T11" i="59"/>
  <c r="T11" i="60"/>
  <c r="T100" i="60"/>
  <c r="T131" i="59"/>
  <c r="T131" i="60"/>
  <c r="T106" i="59"/>
  <c r="T106" i="60"/>
  <c r="S165" i="60"/>
  <c r="K31" i="56"/>
  <c r="T141" i="59"/>
  <c r="T141" i="60"/>
  <c r="T137" i="59"/>
  <c r="T137" i="60"/>
  <c r="K3" i="55"/>
  <c r="T198" i="58"/>
  <c r="T205" i="58"/>
  <c r="P26" i="55"/>
  <c r="P27" i="55"/>
  <c r="O198" i="59"/>
  <c r="O200" i="59"/>
  <c r="O197" i="59"/>
  <c r="S134" i="60"/>
  <c r="K41" i="56"/>
  <c r="S84" i="60"/>
  <c r="K39" i="56"/>
  <c r="T17" i="59"/>
  <c r="L9" i="56"/>
  <c r="T81" i="60"/>
  <c r="T161" i="59"/>
  <c r="T139" i="60"/>
  <c r="T63" i="60"/>
  <c r="T130" i="59"/>
  <c r="T130" i="60"/>
  <c r="T153" i="60"/>
  <c r="T178" i="59"/>
  <c r="T364" i="59"/>
  <c r="T182" i="59"/>
  <c r="T182" i="60"/>
  <c r="T368" i="59"/>
  <c r="T50" i="60"/>
  <c r="T119" i="59"/>
  <c r="T119" i="60"/>
  <c r="T157" i="60"/>
  <c r="T175" i="59"/>
  <c r="L16" i="56"/>
  <c r="T191" i="59"/>
  <c r="T48" i="59"/>
  <c r="T48" i="60"/>
  <c r="K6" i="55"/>
  <c r="K22" i="55"/>
  <c r="T214" i="58"/>
  <c r="K21" i="56"/>
  <c r="K35" i="56"/>
  <c r="Q33" i="60"/>
  <c r="R33" i="59"/>
  <c r="S191" i="60"/>
  <c r="T68" i="59"/>
  <c r="T68" i="60"/>
  <c r="T10" i="59"/>
  <c r="L8" i="56"/>
  <c r="T112" i="59"/>
  <c r="T112" i="60"/>
  <c r="Q66" i="60"/>
  <c r="I38" i="56"/>
  <c r="R66" i="59"/>
  <c r="Q79" i="60"/>
  <c r="R79" i="59"/>
  <c r="R79" i="60"/>
  <c r="S79" i="60"/>
  <c r="Q109" i="60"/>
  <c r="R109" i="59"/>
  <c r="I40" i="56"/>
  <c r="T24" i="59"/>
  <c r="T24" i="60"/>
  <c r="T84" i="59"/>
  <c r="L13" i="56"/>
  <c r="T190" i="60"/>
  <c r="Q194" i="60"/>
  <c r="T211" i="58"/>
  <c r="S95" i="60"/>
  <c r="G23" i="55"/>
  <c r="L28" i="55"/>
  <c r="Q121" i="60"/>
  <c r="R121" i="59"/>
  <c r="V221" i="58"/>
  <c r="W218" i="58"/>
  <c r="N198" i="59"/>
  <c r="N200" i="59"/>
  <c r="N197" i="59"/>
  <c r="I9" i="55"/>
  <c r="T148" i="60"/>
  <c r="T41" i="60"/>
  <c r="T132" i="59"/>
  <c r="T132" i="60"/>
  <c r="T45" i="59"/>
  <c r="T45" i="60"/>
  <c r="T174" i="59"/>
  <c r="T174" i="60"/>
  <c r="T47" i="60"/>
  <c r="T122" i="59"/>
  <c r="T122" i="60"/>
  <c r="T185" i="59"/>
  <c r="T185" i="60"/>
  <c r="T134" i="59"/>
  <c r="L15" i="56"/>
  <c r="T113" i="59"/>
  <c r="T113" i="60"/>
  <c r="T184" i="59"/>
  <c r="T184" i="60"/>
  <c r="T370" i="59"/>
  <c r="T104" i="59"/>
  <c r="L14" i="56"/>
  <c r="T117" i="60"/>
  <c r="T60" i="60"/>
  <c r="T107" i="60"/>
  <c r="T179" i="59"/>
  <c r="T179" i="60"/>
  <c r="T365" i="59"/>
  <c r="T168" i="59"/>
  <c r="T168" i="60"/>
  <c r="T128" i="60"/>
  <c r="S104" i="60"/>
  <c r="H21" i="55"/>
  <c r="P196" i="59"/>
  <c r="T176" i="59"/>
  <c r="T176" i="60"/>
  <c r="T362" i="59"/>
  <c r="S10" i="60"/>
  <c r="K34" i="56"/>
  <c r="T133" i="60"/>
  <c r="T95" i="60"/>
  <c r="T93" i="60"/>
  <c r="H44" i="56"/>
  <c r="H47" i="56"/>
  <c r="K4" i="55"/>
  <c r="K19" i="56"/>
  <c r="R194" i="60"/>
  <c r="Q129" i="60"/>
  <c r="R129" i="59"/>
  <c r="S171" i="60"/>
  <c r="K33" i="56"/>
  <c r="S186" i="60"/>
  <c r="K32" i="56"/>
  <c r="K28" i="55"/>
  <c r="F23" i="55"/>
  <c r="T75" i="60"/>
  <c r="T79" i="60"/>
  <c r="U196" i="58"/>
  <c r="U194" i="58"/>
  <c r="U201" i="58"/>
  <c r="U199" i="58"/>
  <c r="U207" i="58"/>
  <c r="U200" i="58"/>
  <c r="U193" i="58"/>
  <c r="U202" i="58"/>
  <c r="L4" i="56"/>
  <c r="L10" i="56"/>
  <c r="T38" i="60"/>
  <c r="T78" i="59"/>
  <c r="T78" i="60"/>
  <c r="T116" i="59"/>
  <c r="T116" i="60"/>
  <c r="T51" i="60"/>
  <c r="T69" i="59"/>
  <c r="T8" i="60"/>
  <c r="T177" i="59"/>
  <c r="T177" i="60"/>
  <c r="T363" i="59"/>
  <c r="T186" i="59"/>
  <c r="L6" i="56"/>
  <c r="T114" i="60"/>
  <c r="T147" i="60"/>
  <c r="T67" i="60"/>
  <c r="T108" i="59"/>
  <c r="T108" i="60"/>
  <c r="T146" i="59"/>
  <c r="T146" i="60"/>
  <c r="T183" i="59"/>
  <c r="T183" i="60"/>
  <c r="T369" i="59"/>
  <c r="T80" i="60"/>
  <c r="T14" i="59"/>
  <c r="T14" i="60"/>
  <c r="S175" i="60"/>
  <c r="K42" i="56"/>
  <c r="T64" i="59"/>
  <c r="T64" i="60"/>
  <c r="T180" i="59"/>
  <c r="T180" i="60"/>
  <c r="T366" i="59"/>
  <c r="T160" i="59"/>
  <c r="T160" i="60"/>
  <c r="L5" i="55"/>
  <c r="L20" i="56"/>
  <c r="U209" i="58"/>
  <c r="U210" i="58"/>
  <c r="U211" i="58"/>
  <c r="U1" i="59"/>
  <c r="W1" i="58"/>
  <c r="V4" i="58"/>
  <c r="U4" i="59"/>
  <c r="U4" i="60"/>
  <c r="V5" i="58"/>
  <c r="V10" i="58"/>
  <c r="V11" i="58"/>
  <c r="U11" i="59"/>
  <c r="U11" i="60"/>
  <c r="V20" i="58"/>
  <c r="U20" i="59"/>
  <c r="V24" i="58"/>
  <c r="V36" i="58"/>
  <c r="U36" i="59"/>
  <c r="U36" i="60"/>
  <c r="V32" i="58"/>
  <c r="U32" i="59"/>
  <c r="V49" i="58"/>
  <c r="U49" i="59"/>
  <c r="U49" i="60"/>
  <c r="V52" i="58"/>
  <c r="V54" i="58"/>
  <c r="U54" i="59"/>
  <c r="U54" i="60"/>
  <c r="V74" i="58"/>
  <c r="V83" i="58"/>
  <c r="U83" i="59"/>
  <c r="V109" i="58"/>
  <c r="V123" i="58"/>
  <c r="U123" i="59"/>
  <c r="U123" i="60"/>
  <c r="V106" i="58"/>
  <c r="U106" i="59"/>
  <c r="U106" i="60"/>
  <c r="V94" i="58"/>
  <c r="U94" i="59"/>
  <c r="U94" i="60"/>
  <c r="V140" i="58"/>
  <c r="U140" i="59"/>
  <c r="U140" i="60"/>
  <c r="V143" i="58"/>
  <c r="U143" i="59"/>
  <c r="V162" i="58"/>
  <c r="V157" i="58"/>
  <c r="U157" i="59"/>
  <c r="U157" i="60"/>
  <c r="V136" i="58"/>
  <c r="U136" i="59"/>
  <c r="U136" i="60"/>
  <c r="V154" i="58"/>
  <c r="U154" i="59"/>
  <c r="U154" i="60"/>
  <c r="V186" i="58"/>
  <c r="V175" i="58"/>
  <c r="V189" i="58"/>
  <c r="U189" i="59"/>
  <c r="U189" i="60"/>
  <c r="V185" i="58"/>
  <c r="V160" i="58"/>
  <c r="V195" i="58"/>
  <c r="V181" i="58"/>
  <c r="U1" i="60"/>
  <c r="V226" i="58"/>
  <c r="V184" i="58"/>
  <c r="V188" i="58"/>
  <c r="U188" i="59"/>
  <c r="U188" i="60"/>
  <c r="V178" i="58"/>
  <c r="V117" i="58"/>
  <c r="U117" i="59"/>
  <c r="V150" i="58"/>
  <c r="U150" i="59"/>
  <c r="U150" i="60"/>
  <c r="V166" i="58"/>
  <c r="V163" i="58"/>
  <c r="U163" i="59"/>
  <c r="U163" i="60"/>
  <c r="V155" i="58"/>
  <c r="U155" i="59"/>
  <c r="U155" i="60"/>
  <c r="V132" i="58"/>
  <c r="V142" i="58"/>
  <c r="U142" i="59"/>
  <c r="U142" i="60"/>
  <c r="V135" i="58"/>
  <c r="U135" i="59"/>
  <c r="U135" i="60"/>
  <c r="V139" i="58"/>
  <c r="U139" i="59"/>
  <c r="U139" i="60"/>
  <c r="V107" i="58"/>
  <c r="U107" i="59"/>
  <c r="U107" i="60"/>
  <c r="V115" i="58"/>
  <c r="U115" i="59"/>
  <c r="U115" i="60"/>
  <c r="V101" i="58"/>
  <c r="U101" i="59"/>
  <c r="U101" i="60"/>
  <c r="V77" i="58"/>
  <c r="U77" i="59"/>
  <c r="U77" i="60"/>
  <c r="V65" i="58"/>
  <c r="V165" i="58"/>
  <c r="V177" i="58"/>
  <c r="V173" i="58"/>
  <c r="V170" i="58"/>
  <c r="U170" i="59"/>
  <c r="U170" i="60"/>
  <c r="V169" i="58"/>
  <c r="U169" i="59"/>
  <c r="U169" i="60"/>
  <c r="V172" i="58"/>
  <c r="U172" i="59"/>
  <c r="U172" i="60"/>
  <c r="V156" i="58"/>
  <c r="V146" i="58"/>
  <c r="V126" i="58"/>
  <c r="U126" i="59"/>
  <c r="U126" i="60"/>
  <c r="V168" i="58"/>
  <c r="V149" i="58"/>
  <c r="U149" i="59"/>
  <c r="U149" i="60"/>
  <c r="V137" i="58"/>
  <c r="U137" i="59"/>
  <c r="U137" i="60"/>
  <c r="V131" i="58"/>
  <c r="U131" i="59"/>
  <c r="U131" i="60"/>
  <c r="V134" i="58"/>
  <c r="V144" i="58"/>
  <c r="U144" i="59"/>
  <c r="U144" i="60"/>
  <c r="V100" i="58"/>
  <c r="U100" i="59"/>
  <c r="U100" i="60"/>
  <c r="V112" i="58"/>
  <c r="U112" i="59"/>
  <c r="U112" i="60"/>
  <c r="V108" i="58"/>
  <c r="V104" i="58"/>
  <c r="V91" i="58"/>
  <c r="U91" i="59"/>
  <c r="V102" i="58"/>
  <c r="V88" i="58"/>
  <c r="U88" i="59"/>
  <c r="U88" i="60"/>
  <c r="V93" i="58"/>
  <c r="U93" i="59"/>
  <c r="U93" i="60"/>
  <c r="V87" i="58"/>
  <c r="U87" i="59"/>
  <c r="U87" i="60"/>
  <c r="V66" i="58"/>
  <c r="V85" i="58"/>
  <c r="U85" i="59"/>
  <c r="U85" i="60"/>
  <c r="V62" i="58"/>
  <c r="U62" i="59"/>
  <c r="U62" i="60"/>
  <c r="V58" i="58"/>
  <c r="V53" i="58"/>
  <c r="U53" i="59"/>
  <c r="U53" i="60"/>
  <c r="V228" i="58"/>
  <c r="V191" i="58"/>
  <c r="V182" i="58"/>
  <c r="V138" i="58"/>
  <c r="V127" i="58"/>
  <c r="U127" i="59"/>
  <c r="U127" i="60"/>
  <c r="V125" i="58"/>
  <c r="U125" i="59"/>
  <c r="U125" i="60"/>
  <c r="V84" i="58"/>
  <c r="V147" i="58"/>
  <c r="U147" i="59"/>
  <c r="V110" i="58"/>
  <c r="U110" i="59"/>
  <c r="U110" i="60"/>
  <c r="V174" i="58"/>
  <c r="V158" i="58"/>
  <c r="U158" i="59"/>
  <c r="U158" i="60"/>
  <c r="V161" i="58"/>
  <c r="U161" i="59"/>
  <c r="V159" i="58"/>
  <c r="U159" i="59"/>
  <c r="U159" i="60"/>
  <c r="V122" i="58"/>
  <c r="U122" i="59"/>
  <c r="U122" i="60"/>
  <c r="V179" i="58"/>
  <c r="V171" i="58"/>
  <c r="V130" i="58"/>
  <c r="U130" i="59"/>
  <c r="U130" i="60"/>
  <c r="V121" i="58"/>
  <c r="V95" i="58"/>
  <c r="U95" i="59"/>
  <c r="V98" i="58"/>
  <c r="U98" i="59"/>
  <c r="V92" i="58"/>
  <c r="V78" i="58"/>
  <c r="V61" i="58"/>
  <c r="U61" i="59"/>
  <c r="U61" i="60"/>
  <c r="V80" i="58"/>
  <c r="U80" i="59"/>
  <c r="U80" i="60"/>
  <c r="V57" i="58"/>
  <c r="U57" i="59"/>
  <c r="U57" i="60"/>
  <c r="V43" i="58"/>
  <c r="U43" i="59"/>
  <c r="U43" i="60"/>
  <c r="V42" i="58"/>
  <c r="V29" i="58"/>
  <c r="U29" i="59"/>
  <c r="U29" i="60"/>
  <c r="V16" i="58"/>
  <c r="U16" i="59"/>
  <c r="U16" i="60"/>
  <c r="V14" i="58"/>
  <c r="V180" i="58"/>
  <c r="V114" i="58"/>
  <c r="U114" i="59"/>
  <c r="V111" i="58"/>
  <c r="U111" i="59"/>
  <c r="U111" i="60"/>
  <c r="V45" i="58"/>
  <c r="V47" i="58"/>
  <c r="U47" i="59"/>
  <c r="U47" i="60"/>
  <c r="V25" i="58"/>
  <c r="U25" i="59"/>
  <c r="V9" i="58"/>
  <c r="U9" i="59"/>
  <c r="U9" i="60"/>
  <c r="V8" i="58"/>
  <c r="U8" i="59"/>
  <c r="U8" i="60"/>
  <c r="V152" i="58"/>
  <c r="U152" i="59"/>
  <c r="U152" i="60"/>
  <c r="V128" i="58"/>
  <c r="U128" i="59"/>
  <c r="V229" i="58"/>
  <c r="V176" i="58"/>
  <c r="V167" i="58"/>
  <c r="U167" i="59"/>
  <c r="U167" i="60"/>
  <c r="V113" i="58"/>
  <c r="U113" i="59"/>
  <c r="U113" i="60"/>
  <c r="V116" i="58"/>
  <c r="U116" i="59"/>
  <c r="U116" i="60"/>
  <c r="V105" i="58"/>
  <c r="U105" i="59"/>
  <c r="U105" i="60"/>
  <c r="V97" i="58"/>
  <c r="U97" i="59"/>
  <c r="U97" i="60"/>
  <c r="V73" i="58"/>
  <c r="U73" i="59"/>
  <c r="U73" i="60"/>
  <c r="V68" i="58"/>
  <c r="U68" i="59"/>
  <c r="U68" i="60"/>
  <c r="V55" i="58"/>
  <c r="U55" i="59"/>
  <c r="U55" i="60"/>
  <c r="V71" i="58"/>
  <c r="U71" i="59"/>
  <c r="U71" i="60"/>
  <c r="V67" i="58"/>
  <c r="U67" i="59"/>
  <c r="U67" i="60"/>
  <c r="V64" i="58"/>
  <c r="U64" i="59"/>
  <c r="U64" i="60"/>
  <c r="V69" i="58"/>
  <c r="V40" i="58"/>
  <c r="U40" i="59"/>
  <c r="U40" i="60"/>
  <c r="V39" i="58"/>
  <c r="U39" i="59"/>
  <c r="U39" i="60"/>
  <c r="V34" i="58"/>
  <c r="V30" i="58"/>
  <c r="U30" i="59"/>
  <c r="U30" i="60"/>
  <c r="V15" i="58"/>
  <c r="U15" i="59"/>
  <c r="U15" i="60"/>
  <c r="V12" i="58"/>
  <c r="U12" i="59"/>
  <c r="U12" i="60"/>
  <c r="V3" i="58"/>
  <c r="V60" i="58"/>
  <c r="U60" i="59"/>
  <c r="U60" i="60"/>
  <c r="V50" i="58"/>
  <c r="U50" i="59"/>
  <c r="U50" i="60"/>
  <c r="V46" i="58"/>
  <c r="U46" i="59"/>
  <c r="U46" i="60"/>
  <c r="V38" i="58"/>
  <c r="U38" i="59"/>
  <c r="V21" i="58"/>
  <c r="U21" i="59"/>
  <c r="U21" i="60"/>
  <c r="V183" i="58"/>
  <c r="V190" i="58"/>
  <c r="U190" i="59"/>
  <c r="U190" i="60"/>
  <c r="V153" i="58"/>
  <c r="U153" i="59"/>
  <c r="V164" i="58"/>
  <c r="U164" i="59"/>
  <c r="U164" i="60"/>
  <c r="V119" i="58"/>
  <c r="V76" i="58"/>
  <c r="U76" i="59"/>
  <c r="U76" i="60"/>
  <c r="V44" i="58"/>
  <c r="U44" i="59"/>
  <c r="U44" i="60"/>
  <c r="V31" i="58"/>
  <c r="U31" i="59"/>
  <c r="U31" i="60"/>
  <c r="V19" i="58"/>
  <c r="U19" i="59"/>
  <c r="U19" i="60"/>
  <c r="V13" i="58"/>
  <c r="U13" i="59"/>
  <c r="U13" i="60"/>
  <c r="V6" i="58"/>
  <c r="U6" i="59"/>
  <c r="U6" i="60"/>
  <c r="V7" i="58"/>
  <c r="U7" i="59"/>
  <c r="U7" i="60"/>
  <c r="V48" i="58"/>
  <c r="U48" i="59"/>
  <c r="U48" i="60"/>
  <c r="V35" i="58"/>
  <c r="U35" i="59"/>
  <c r="U35" i="60"/>
  <c r="V23" i="58"/>
  <c r="U23" i="59"/>
  <c r="U23" i="60"/>
  <c r="V133" i="58"/>
  <c r="U133" i="59"/>
  <c r="U133" i="60"/>
  <c r="V26" i="58"/>
  <c r="U26" i="59"/>
  <c r="U26" i="60"/>
  <c r="V187" i="58"/>
  <c r="V118" i="58"/>
  <c r="V120" i="58"/>
  <c r="U120" i="59"/>
  <c r="U120" i="60"/>
  <c r="V96" i="58"/>
  <c r="U96" i="59"/>
  <c r="U96" i="60"/>
  <c r="V89" i="58"/>
  <c r="U89" i="59"/>
  <c r="U89" i="60"/>
  <c r="V99" i="58"/>
  <c r="U99" i="59"/>
  <c r="U99" i="60"/>
  <c r="V90" i="58"/>
  <c r="U90" i="59"/>
  <c r="V59" i="58"/>
  <c r="U59" i="59"/>
  <c r="U59" i="60"/>
  <c r="V63" i="58"/>
  <c r="U63" i="59"/>
  <c r="U63" i="60"/>
  <c r="V56" i="58"/>
  <c r="U56" i="59"/>
  <c r="U56" i="60"/>
  <c r="V28" i="58"/>
  <c r="U28" i="59"/>
  <c r="U28" i="60"/>
  <c r="V86" i="58"/>
  <c r="U86" i="59"/>
  <c r="U86" i="60"/>
  <c r="V82" i="58"/>
  <c r="U82" i="59"/>
  <c r="U82" i="60"/>
  <c r="V51" i="58"/>
  <c r="U51" i="59"/>
  <c r="U51" i="60"/>
  <c r="V27" i="58"/>
  <c r="U27" i="59"/>
  <c r="U27" i="60"/>
  <c r="V37" i="58"/>
  <c r="U37" i="59"/>
  <c r="V145" i="58"/>
  <c r="V81" i="58"/>
  <c r="U81" i="59"/>
  <c r="U81" i="60"/>
  <c r="V17" i="58"/>
  <c r="V75" i="58"/>
  <c r="V22" i="58"/>
  <c r="U22" i="59"/>
  <c r="V33" i="58"/>
  <c r="U33" i="59"/>
  <c r="V79" i="58"/>
  <c r="U79" i="59"/>
  <c r="V124" i="58"/>
  <c r="U124" i="59"/>
  <c r="U124" i="60"/>
  <c r="V141" i="58"/>
  <c r="U141" i="59"/>
  <c r="U141" i="60"/>
  <c r="V129" i="58"/>
  <c r="V148" i="58"/>
  <c r="U148" i="59"/>
  <c r="U148" i="60"/>
  <c r="V72" i="58"/>
  <c r="U72" i="59"/>
  <c r="U72" i="60"/>
  <c r="V41" i="58"/>
  <c r="U41" i="59"/>
  <c r="V70" i="58"/>
  <c r="U70" i="59"/>
  <c r="V103" i="58"/>
  <c r="V18" i="58"/>
  <c r="U18" i="59"/>
  <c r="U18" i="60"/>
  <c r="V151" i="58"/>
  <c r="U151" i="59"/>
  <c r="U151" i="60"/>
  <c r="Q17" i="60"/>
  <c r="I35" i="56"/>
  <c r="R17" i="59"/>
  <c r="Q20" i="60"/>
  <c r="R20" i="59"/>
  <c r="M376" i="59"/>
  <c r="M375" i="59"/>
  <c r="M377" i="59"/>
  <c r="M379" i="59"/>
  <c r="Q3" i="60"/>
  <c r="Q193" i="59"/>
  <c r="R3" i="59"/>
  <c r="T70" i="59"/>
  <c r="T65" i="59"/>
  <c r="T65" i="60"/>
  <c r="T90" i="60"/>
  <c r="T171" i="59"/>
  <c r="L7" i="56"/>
  <c r="T181" i="59"/>
  <c r="T181" i="60"/>
  <c r="T367" i="59"/>
  <c r="T166" i="59"/>
  <c r="T166" i="60"/>
  <c r="T35" i="60"/>
  <c r="Q22" i="60"/>
  <c r="R22" i="59"/>
  <c r="R22" i="60"/>
  <c r="S22" i="60"/>
  <c r="T22" i="60"/>
  <c r="Q70" i="60"/>
  <c r="R70" i="59"/>
  <c r="J7" i="55"/>
  <c r="S83" i="60"/>
  <c r="T83" i="60"/>
  <c r="T203" i="58"/>
  <c r="L8" i="55"/>
  <c r="S42" i="60"/>
  <c r="K37" i="56"/>
  <c r="K38" i="56"/>
  <c r="J23" i="56"/>
  <c r="S69" i="60"/>
  <c r="P5" i="60"/>
  <c r="P193" i="60"/>
  <c r="P195" i="60"/>
  <c r="Q5" i="59"/>
  <c r="I30" i="56"/>
  <c r="T66" i="59"/>
  <c r="L12" i="56"/>
  <c r="T165" i="59"/>
  <c r="L5" i="56"/>
  <c r="T52" i="59"/>
  <c r="T52" i="60"/>
  <c r="T42" i="59"/>
  <c r="L11" i="56"/>
  <c r="T58" i="59"/>
  <c r="T58" i="60"/>
  <c r="T98" i="59"/>
  <c r="T91" i="60"/>
  <c r="T173" i="59"/>
  <c r="T173" i="60"/>
  <c r="T143" i="60"/>
  <c r="T162" i="59"/>
  <c r="T162" i="60"/>
  <c r="T138" i="59"/>
  <c r="T138" i="60"/>
  <c r="T92" i="59"/>
  <c r="T92" i="60"/>
  <c r="T118" i="59"/>
  <c r="T118" i="60"/>
  <c r="T156" i="59"/>
  <c r="T156" i="60"/>
  <c r="T102" i="59"/>
  <c r="T102" i="60"/>
  <c r="T34" i="59"/>
  <c r="T34" i="60"/>
  <c r="K18" i="56"/>
  <c r="K23" i="56"/>
  <c r="S25" i="60"/>
  <c r="T25" i="60"/>
  <c r="U78" i="59"/>
  <c r="U78" i="60"/>
  <c r="U174" i="59"/>
  <c r="U174" i="60"/>
  <c r="H49" i="56"/>
  <c r="R37" i="60"/>
  <c r="S37" i="60"/>
  <c r="T37" i="60"/>
  <c r="U37" i="60"/>
  <c r="U185" i="59"/>
  <c r="U185" i="60"/>
  <c r="T191" i="60"/>
  <c r="U162" i="59"/>
  <c r="U162" i="60"/>
  <c r="U114" i="60"/>
  <c r="U108" i="59"/>
  <c r="U108" i="60"/>
  <c r="U69" i="59"/>
  <c r="T178" i="60"/>
  <c r="G16" i="55"/>
  <c r="G15" i="55"/>
  <c r="G14" i="55"/>
  <c r="H10" i="55"/>
  <c r="H11" i="55"/>
  <c r="H13" i="55"/>
  <c r="U147" i="60"/>
  <c r="M8" i="55"/>
  <c r="J9" i="55"/>
  <c r="I36" i="56"/>
  <c r="I44" i="56"/>
  <c r="I47" i="56"/>
  <c r="R20" i="60"/>
  <c r="S20" i="60"/>
  <c r="T20" i="60"/>
  <c r="U20" i="60"/>
  <c r="U75" i="59"/>
  <c r="U75" i="60"/>
  <c r="U118" i="59"/>
  <c r="U118" i="60"/>
  <c r="U183" i="59"/>
  <c r="U183" i="60"/>
  <c r="U369" i="59"/>
  <c r="V196" i="58"/>
  <c r="V194" i="58"/>
  <c r="V201" i="58"/>
  <c r="V199" i="58"/>
  <c r="V200" i="58"/>
  <c r="V193" i="58"/>
  <c r="V202" i="58"/>
  <c r="M10" i="56"/>
  <c r="V207" i="58"/>
  <c r="M4" i="56"/>
  <c r="U180" i="59"/>
  <c r="U180" i="60"/>
  <c r="U366" i="59"/>
  <c r="U95" i="60"/>
  <c r="U84" i="59"/>
  <c r="M13" i="56"/>
  <c r="U65" i="59"/>
  <c r="U65" i="60"/>
  <c r="U175" i="59"/>
  <c r="M16" i="56"/>
  <c r="U143" i="60"/>
  <c r="U83" i="60"/>
  <c r="T186" i="60"/>
  <c r="L32" i="56"/>
  <c r="T69" i="60"/>
  <c r="U203" i="58"/>
  <c r="T161" i="60"/>
  <c r="S216" i="58"/>
  <c r="T213" i="58"/>
  <c r="U191" i="59"/>
  <c r="U191" i="60"/>
  <c r="U165" i="59"/>
  <c r="M5" i="56"/>
  <c r="T42" i="60"/>
  <c r="L37" i="56"/>
  <c r="L38" i="56"/>
  <c r="T98" i="60"/>
  <c r="R70" i="60"/>
  <c r="S70" i="60"/>
  <c r="U103" i="59"/>
  <c r="U103" i="60"/>
  <c r="U17" i="59"/>
  <c r="M9" i="56"/>
  <c r="U90" i="60"/>
  <c r="U187" i="59"/>
  <c r="U187" i="60"/>
  <c r="U69" i="60"/>
  <c r="U176" i="59"/>
  <c r="U176" i="60"/>
  <c r="U362" i="59"/>
  <c r="U25" i="60"/>
  <c r="U14" i="59"/>
  <c r="U14" i="60"/>
  <c r="U161" i="60"/>
  <c r="U117" i="60"/>
  <c r="U181" i="59"/>
  <c r="U181" i="60"/>
  <c r="U367" i="59"/>
  <c r="U186" i="59"/>
  <c r="M6" i="56"/>
  <c r="U74" i="59"/>
  <c r="U74" i="60"/>
  <c r="U24" i="59"/>
  <c r="U24" i="60"/>
  <c r="V1" i="59"/>
  <c r="X1" i="58"/>
  <c r="W10" i="58"/>
  <c r="W5" i="58"/>
  <c r="W9" i="58"/>
  <c r="V9" i="59"/>
  <c r="V9" i="60"/>
  <c r="W6" i="58"/>
  <c r="V6" i="59"/>
  <c r="V6" i="60"/>
  <c r="W28" i="58"/>
  <c r="V28" i="59"/>
  <c r="V28" i="60"/>
  <c r="W35" i="58"/>
  <c r="V35" i="59"/>
  <c r="V35" i="60"/>
  <c r="W39" i="58"/>
  <c r="V39" i="59"/>
  <c r="V39" i="60"/>
  <c r="W52" i="58"/>
  <c r="W56" i="58"/>
  <c r="V56" i="59"/>
  <c r="V56" i="60"/>
  <c r="W101" i="58"/>
  <c r="V101" i="59"/>
  <c r="V101" i="60"/>
  <c r="W121" i="58"/>
  <c r="W89" i="58"/>
  <c r="V89" i="59"/>
  <c r="V89" i="60"/>
  <c r="W119" i="58"/>
  <c r="V119" i="59"/>
  <c r="V119" i="60"/>
  <c r="W134" i="58"/>
  <c r="W149" i="58"/>
  <c r="V149" i="59"/>
  <c r="V149" i="60"/>
  <c r="W158" i="58"/>
  <c r="V158" i="59"/>
  <c r="V158" i="60"/>
  <c r="W172" i="58"/>
  <c r="V172" i="59"/>
  <c r="V172" i="60"/>
  <c r="W138" i="58"/>
  <c r="W155" i="58"/>
  <c r="V155" i="59"/>
  <c r="V155" i="60"/>
  <c r="W161" i="58"/>
  <c r="V161" i="59"/>
  <c r="W179" i="58"/>
  <c r="W187" i="58"/>
  <c r="V187" i="59"/>
  <c r="W167" i="58"/>
  <c r="V167" i="59"/>
  <c r="V167" i="60"/>
  <c r="W182" i="58"/>
  <c r="W176" i="58"/>
  <c r="W190" i="58"/>
  <c r="V190" i="59"/>
  <c r="V190" i="60"/>
  <c r="W195" i="58"/>
  <c r="V1" i="60"/>
  <c r="W226" i="58"/>
  <c r="W228" i="58"/>
  <c r="W165" i="58"/>
  <c r="W171" i="58"/>
  <c r="W163" i="58"/>
  <c r="V163" i="59"/>
  <c r="V163" i="60"/>
  <c r="W133" i="58"/>
  <c r="V133" i="59"/>
  <c r="V133" i="60"/>
  <c r="W131" i="58"/>
  <c r="V131" i="59"/>
  <c r="V131" i="60"/>
  <c r="W112" i="58"/>
  <c r="V112" i="59"/>
  <c r="V112" i="60"/>
  <c r="W91" i="58"/>
  <c r="V91" i="59"/>
  <c r="V91" i="60"/>
  <c r="W105" i="58"/>
  <c r="V105" i="59"/>
  <c r="V105" i="60"/>
  <c r="W88" i="58"/>
  <c r="V88" i="59"/>
  <c r="V88" i="60"/>
  <c r="W99" i="58"/>
  <c r="V99" i="59"/>
  <c r="V99" i="60"/>
  <c r="W66" i="58"/>
  <c r="W71" i="58"/>
  <c r="V71" i="59"/>
  <c r="V71" i="60"/>
  <c r="W83" i="58"/>
  <c r="V83" i="59"/>
  <c r="V83" i="60"/>
  <c r="W69" i="58"/>
  <c r="V69" i="59"/>
  <c r="W62" i="58"/>
  <c r="V62" i="59"/>
  <c r="V62" i="60"/>
  <c r="W58" i="58"/>
  <c r="W45" i="58"/>
  <c r="W30" i="58"/>
  <c r="V30" i="59"/>
  <c r="V30" i="60"/>
  <c r="W26" i="58"/>
  <c r="V26" i="59"/>
  <c r="V26" i="60"/>
  <c r="W174" i="58"/>
  <c r="V174" i="59"/>
  <c r="V174" i="60"/>
  <c r="W169" i="58"/>
  <c r="V169" i="59"/>
  <c r="V169" i="60"/>
  <c r="W175" i="58"/>
  <c r="W160" i="58"/>
  <c r="W150" i="58"/>
  <c r="V150" i="59"/>
  <c r="V150" i="60"/>
  <c r="W168" i="58"/>
  <c r="V168" i="59"/>
  <c r="V168" i="60"/>
  <c r="W159" i="58"/>
  <c r="V159" i="59"/>
  <c r="V159" i="60"/>
  <c r="W157" i="58"/>
  <c r="V157" i="59"/>
  <c r="V157" i="60"/>
  <c r="W127" i="58"/>
  <c r="V127" i="59"/>
  <c r="V127" i="60"/>
  <c r="W122" i="58"/>
  <c r="V122" i="59"/>
  <c r="V122" i="60"/>
  <c r="W114" i="58"/>
  <c r="V114" i="59"/>
  <c r="V114" i="60"/>
  <c r="W136" i="58"/>
  <c r="V136" i="59"/>
  <c r="V136" i="60"/>
  <c r="W130" i="58"/>
  <c r="V130" i="59"/>
  <c r="V130" i="60"/>
  <c r="W116" i="58"/>
  <c r="V116" i="59"/>
  <c r="V116" i="60"/>
  <c r="W128" i="58"/>
  <c r="V128" i="59"/>
  <c r="W123" i="58"/>
  <c r="V123" i="59"/>
  <c r="V123" i="60"/>
  <c r="W107" i="58"/>
  <c r="V107" i="59"/>
  <c r="V107" i="60"/>
  <c r="W111" i="58"/>
  <c r="V111" i="59"/>
  <c r="V111" i="60"/>
  <c r="W106" i="58"/>
  <c r="V106" i="59"/>
  <c r="V106" i="60"/>
  <c r="W92" i="58"/>
  <c r="W109" i="58"/>
  <c r="W90" i="58"/>
  <c r="V90" i="59"/>
  <c r="W78" i="58"/>
  <c r="V78" i="59"/>
  <c r="V78" i="60"/>
  <c r="W59" i="58"/>
  <c r="V59" i="59"/>
  <c r="V59" i="60"/>
  <c r="W61" i="58"/>
  <c r="V61" i="59"/>
  <c r="V61" i="60"/>
  <c r="W229" i="58"/>
  <c r="W180" i="58"/>
  <c r="W183" i="58"/>
  <c r="W186" i="58"/>
  <c r="W185" i="58"/>
  <c r="V185" i="59"/>
  <c r="V185" i="60"/>
  <c r="W153" i="58"/>
  <c r="V153" i="59"/>
  <c r="W166" i="58"/>
  <c r="W146" i="58"/>
  <c r="W147" i="58"/>
  <c r="V147" i="59"/>
  <c r="W143" i="58"/>
  <c r="V143" i="59"/>
  <c r="V143" i="60"/>
  <c r="W144" i="58"/>
  <c r="V144" i="59"/>
  <c r="V144" i="60"/>
  <c r="W102" i="58"/>
  <c r="W184" i="58"/>
  <c r="W178" i="58"/>
  <c r="W173" i="58"/>
  <c r="W117" i="58"/>
  <c r="V117" i="59"/>
  <c r="V117" i="60"/>
  <c r="W164" i="58"/>
  <c r="V164" i="59"/>
  <c r="V164" i="60"/>
  <c r="W162" i="58"/>
  <c r="V162" i="59"/>
  <c r="V162" i="60"/>
  <c r="W126" i="58"/>
  <c r="V126" i="59"/>
  <c r="V126" i="60"/>
  <c r="W84" i="58"/>
  <c r="W140" i="58"/>
  <c r="V140" i="59"/>
  <c r="V140" i="60"/>
  <c r="W189" i="58"/>
  <c r="V189" i="59"/>
  <c r="V189" i="60"/>
  <c r="W154" i="58"/>
  <c r="V154" i="59"/>
  <c r="V154" i="60"/>
  <c r="W142" i="58"/>
  <c r="V142" i="59"/>
  <c r="V142" i="60"/>
  <c r="W135" i="58"/>
  <c r="V135" i="59"/>
  <c r="V135" i="60"/>
  <c r="W118" i="58"/>
  <c r="V118" i="59"/>
  <c r="V118" i="60"/>
  <c r="W108" i="58"/>
  <c r="W115" i="58"/>
  <c r="V115" i="59"/>
  <c r="V115" i="60"/>
  <c r="W76" i="58"/>
  <c r="V76" i="59"/>
  <c r="V76" i="60"/>
  <c r="W64" i="58"/>
  <c r="V64" i="59"/>
  <c r="V64" i="60"/>
  <c r="W77" i="58"/>
  <c r="V77" i="59"/>
  <c r="V77" i="60"/>
  <c r="W54" i="58"/>
  <c r="V54" i="59"/>
  <c r="V54" i="60"/>
  <c r="W48" i="58"/>
  <c r="V48" i="59"/>
  <c r="V48" i="60"/>
  <c r="W40" i="58"/>
  <c r="V40" i="59"/>
  <c r="V40" i="60"/>
  <c r="W31" i="58"/>
  <c r="V31" i="59"/>
  <c r="V31" i="60"/>
  <c r="W36" i="58"/>
  <c r="V36" i="59"/>
  <c r="V36" i="60"/>
  <c r="W13" i="58"/>
  <c r="V13" i="59"/>
  <c r="V13" i="60"/>
  <c r="W14" i="58"/>
  <c r="V14" i="59"/>
  <c r="V14" i="60"/>
  <c r="W170" i="58"/>
  <c r="V170" i="59"/>
  <c r="V170" i="60"/>
  <c r="W181" i="58"/>
  <c r="W110" i="58"/>
  <c r="V110" i="59"/>
  <c r="V110" i="60"/>
  <c r="W132" i="58"/>
  <c r="W113" i="58"/>
  <c r="V113" i="59"/>
  <c r="V113" i="60"/>
  <c r="W139" i="58"/>
  <c r="V139" i="59"/>
  <c r="V139" i="60"/>
  <c r="W104" i="58"/>
  <c r="W63" i="58"/>
  <c r="V63" i="59"/>
  <c r="V63" i="60"/>
  <c r="W51" i="58"/>
  <c r="V51" i="59"/>
  <c r="V51" i="60"/>
  <c r="W44" i="58"/>
  <c r="V44" i="59"/>
  <c r="V44" i="60"/>
  <c r="W29" i="58"/>
  <c r="V29" i="59"/>
  <c r="V29" i="60"/>
  <c r="W3" i="58"/>
  <c r="W4" i="58"/>
  <c r="V4" i="59"/>
  <c r="V4" i="60"/>
  <c r="W43" i="58"/>
  <c r="V43" i="59"/>
  <c r="V43" i="60"/>
  <c r="W191" i="58"/>
  <c r="V191" i="59"/>
  <c r="V191" i="60"/>
  <c r="W137" i="58"/>
  <c r="V137" i="59"/>
  <c r="V137" i="60"/>
  <c r="W98" i="58"/>
  <c r="V98" i="59"/>
  <c r="W86" i="58"/>
  <c r="V86" i="59"/>
  <c r="V86" i="60"/>
  <c r="W94" i="58"/>
  <c r="V94" i="59"/>
  <c r="V94" i="60"/>
  <c r="W82" i="58"/>
  <c r="V82" i="59"/>
  <c r="V82" i="60"/>
  <c r="W53" i="58"/>
  <c r="V53" i="59"/>
  <c r="V53" i="60"/>
  <c r="W74" i="58"/>
  <c r="W65" i="58"/>
  <c r="W55" i="58"/>
  <c r="V55" i="59"/>
  <c r="V55" i="60"/>
  <c r="W42" i="58"/>
  <c r="W49" i="58"/>
  <c r="V49" i="59"/>
  <c r="V49" i="60"/>
  <c r="W32" i="58"/>
  <c r="V32" i="59"/>
  <c r="V32" i="60"/>
  <c r="W16" i="58"/>
  <c r="V16" i="59"/>
  <c r="V16" i="60"/>
  <c r="W15" i="58"/>
  <c r="V15" i="59"/>
  <c r="V15" i="60"/>
  <c r="W23" i="58"/>
  <c r="V23" i="59"/>
  <c r="V23" i="60"/>
  <c r="W97" i="58"/>
  <c r="V97" i="59"/>
  <c r="V97" i="60"/>
  <c r="W152" i="58"/>
  <c r="V152" i="59"/>
  <c r="V152" i="60"/>
  <c r="W156" i="58"/>
  <c r="V156" i="59"/>
  <c r="V156" i="60"/>
  <c r="W100" i="58"/>
  <c r="V100" i="59"/>
  <c r="V100" i="60"/>
  <c r="W95" i="58"/>
  <c r="V95" i="59"/>
  <c r="V95" i="60"/>
  <c r="W93" i="58"/>
  <c r="V93" i="59"/>
  <c r="V93" i="60"/>
  <c r="W46" i="58"/>
  <c r="V46" i="59"/>
  <c r="V46" i="60"/>
  <c r="W38" i="58"/>
  <c r="V38" i="59"/>
  <c r="V38" i="60"/>
  <c r="W47" i="58"/>
  <c r="V47" i="59"/>
  <c r="V47" i="60"/>
  <c r="W24" i="58"/>
  <c r="W11" i="58"/>
  <c r="V11" i="59"/>
  <c r="V11" i="60"/>
  <c r="W12" i="58"/>
  <c r="V12" i="59"/>
  <c r="V12" i="60"/>
  <c r="W34" i="58"/>
  <c r="W20" i="58"/>
  <c r="V20" i="59"/>
  <c r="W8" i="58"/>
  <c r="V8" i="59"/>
  <c r="V8" i="60"/>
  <c r="W68" i="58"/>
  <c r="V68" i="59"/>
  <c r="V68" i="60"/>
  <c r="W188" i="58"/>
  <c r="V188" i="59"/>
  <c r="V188" i="60"/>
  <c r="W177" i="58"/>
  <c r="W125" i="58"/>
  <c r="V125" i="59"/>
  <c r="V125" i="60"/>
  <c r="W120" i="58"/>
  <c r="V120" i="59"/>
  <c r="V120" i="60"/>
  <c r="W96" i="58"/>
  <c r="V96" i="59"/>
  <c r="V96" i="60"/>
  <c r="W73" i="58"/>
  <c r="V73" i="59"/>
  <c r="V73" i="60"/>
  <c r="W87" i="58"/>
  <c r="V87" i="59"/>
  <c r="V87" i="60"/>
  <c r="W67" i="58"/>
  <c r="V67" i="59"/>
  <c r="V67" i="60"/>
  <c r="W60" i="58"/>
  <c r="V60" i="59"/>
  <c r="V60" i="60"/>
  <c r="W57" i="58"/>
  <c r="V57" i="59"/>
  <c r="V57" i="60"/>
  <c r="W50" i="58"/>
  <c r="V50" i="59"/>
  <c r="V50" i="60"/>
  <c r="W25" i="58"/>
  <c r="V25" i="59"/>
  <c r="W19" i="58"/>
  <c r="V19" i="59"/>
  <c r="V19" i="60"/>
  <c r="W21" i="58"/>
  <c r="V21" i="59"/>
  <c r="V21" i="60"/>
  <c r="W7" i="58"/>
  <c r="V7" i="59"/>
  <c r="V7" i="60"/>
  <c r="W85" i="58"/>
  <c r="V85" i="59"/>
  <c r="V85" i="60"/>
  <c r="W80" i="58"/>
  <c r="V80" i="59"/>
  <c r="V80" i="60"/>
  <c r="W75" i="58"/>
  <c r="V75" i="59"/>
  <c r="V75" i="60"/>
  <c r="W17" i="58"/>
  <c r="W79" i="58"/>
  <c r="V79" i="59"/>
  <c r="W141" i="58"/>
  <c r="W18" i="58"/>
  <c r="V18" i="59"/>
  <c r="V18" i="60"/>
  <c r="W145" i="58"/>
  <c r="V145" i="59"/>
  <c r="V145" i="60"/>
  <c r="W148" i="58"/>
  <c r="V148" i="59"/>
  <c r="V148" i="60"/>
  <c r="W72" i="58"/>
  <c r="V72" i="59"/>
  <c r="V72" i="60"/>
  <c r="W103" i="58"/>
  <c r="V103" i="59"/>
  <c r="V103" i="60"/>
  <c r="W22" i="58"/>
  <c r="V22" i="59"/>
  <c r="W124" i="58"/>
  <c r="V124" i="59"/>
  <c r="V124" i="60"/>
  <c r="W37" i="58"/>
  <c r="V37" i="59"/>
  <c r="W151" i="58"/>
  <c r="V151" i="59"/>
  <c r="V151" i="60"/>
  <c r="W41" i="58"/>
  <c r="V41" i="59"/>
  <c r="V41" i="60"/>
  <c r="W70" i="58"/>
  <c r="W129" i="58"/>
  <c r="W81" i="58"/>
  <c r="V81" i="59"/>
  <c r="V81" i="60"/>
  <c r="W33" i="58"/>
  <c r="V33" i="59"/>
  <c r="W27" i="58"/>
  <c r="V27" i="59"/>
  <c r="V27" i="60"/>
  <c r="P198" i="59"/>
  <c r="P200" i="59"/>
  <c r="P197" i="59"/>
  <c r="T104" i="60"/>
  <c r="T134" i="60"/>
  <c r="L41" i="56"/>
  <c r="R121" i="60"/>
  <c r="S121" i="59"/>
  <c r="K7" i="55"/>
  <c r="U22" i="60"/>
  <c r="U104" i="59"/>
  <c r="M14" i="56"/>
  <c r="U166" i="59"/>
  <c r="U166" i="60"/>
  <c r="W221" i="58"/>
  <c r="X218" i="58"/>
  <c r="R109" i="60"/>
  <c r="J40" i="56"/>
  <c r="S109" i="59"/>
  <c r="T10" i="60"/>
  <c r="L34" i="56"/>
  <c r="I21" i="55"/>
  <c r="Q196" i="59"/>
  <c r="R17" i="60"/>
  <c r="S17" i="60"/>
  <c r="T17" i="60"/>
  <c r="J35" i="56"/>
  <c r="U119" i="59"/>
  <c r="U119" i="60"/>
  <c r="U38" i="60"/>
  <c r="U58" i="59"/>
  <c r="U58" i="60"/>
  <c r="U168" i="59"/>
  <c r="U168" i="60"/>
  <c r="U132" i="59"/>
  <c r="U132" i="60"/>
  <c r="U178" i="59"/>
  <c r="U178" i="60"/>
  <c r="U364" i="59"/>
  <c r="M5" i="55"/>
  <c r="V209" i="58"/>
  <c r="V210" i="58"/>
  <c r="V211" i="58"/>
  <c r="M20" i="56"/>
  <c r="L4" i="55"/>
  <c r="L19" i="56"/>
  <c r="S194" i="60"/>
  <c r="K25" i="56"/>
  <c r="H23" i="55"/>
  <c r="M28" i="55"/>
  <c r="T84" i="60"/>
  <c r="L39" i="56"/>
  <c r="U98" i="60"/>
  <c r="U32" i="60"/>
  <c r="L18" i="56"/>
  <c r="L25" i="56"/>
  <c r="Q5" i="60"/>
  <c r="R5" i="59"/>
  <c r="J30" i="56"/>
  <c r="U41" i="60"/>
  <c r="U79" i="60"/>
  <c r="U145" i="59"/>
  <c r="U145" i="60"/>
  <c r="U128" i="60"/>
  <c r="U45" i="59"/>
  <c r="U45" i="60"/>
  <c r="U171" i="59"/>
  <c r="M7" i="56"/>
  <c r="U138" i="59"/>
  <c r="U138" i="60"/>
  <c r="U102" i="59"/>
  <c r="U102" i="60"/>
  <c r="U173" i="59"/>
  <c r="U173" i="60"/>
  <c r="U160" i="59"/>
  <c r="U160" i="60"/>
  <c r="U52" i="59"/>
  <c r="U52" i="60"/>
  <c r="L3" i="55"/>
  <c r="U198" i="58"/>
  <c r="U205" i="58"/>
  <c r="Q26" i="55"/>
  <c r="Q27" i="55"/>
  <c r="L6" i="55"/>
  <c r="L22" i="55"/>
  <c r="U214" i="58"/>
  <c r="L21" i="56"/>
  <c r="N372" i="59"/>
  <c r="T175" i="60"/>
  <c r="L42" i="56"/>
  <c r="L35" i="56"/>
  <c r="O372" i="59"/>
  <c r="U66" i="59"/>
  <c r="M12" i="56"/>
  <c r="U156" i="59"/>
  <c r="U156" i="60"/>
  <c r="H18" i="55"/>
  <c r="H19" i="55"/>
  <c r="P196" i="60"/>
  <c r="T70" i="60"/>
  <c r="U70" i="60"/>
  <c r="Q193" i="60"/>
  <c r="Q195" i="60"/>
  <c r="T165" i="60"/>
  <c r="L31" i="56"/>
  <c r="T171" i="60"/>
  <c r="L33" i="56"/>
  <c r="R193" i="59"/>
  <c r="R3" i="60"/>
  <c r="S3" i="59"/>
  <c r="U153" i="60"/>
  <c r="U34" i="59"/>
  <c r="U34" i="60"/>
  <c r="U42" i="59"/>
  <c r="M11" i="56"/>
  <c r="U92" i="59"/>
  <c r="U92" i="60"/>
  <c r="U179" i="59"/>
  <c r="U179" i="60"/>
  <c r="U365" i="59"/>
  <c r="U182" i="59"/>
  <c r="U182" i="60"/>
  <c r="U368" i="59"/>
  <c r="U91" i="60"/>
  <c r="U134" i="59"/>
  <c r="M15" i="56"/>
  <c r="U146" i="59"/>
  <c r="U146" i="60"/>
  <c r="U177" i="59"/>
  <c r="U177" i="60"/>
  <c r="U363" i="59"/>
  <c r="U184" i="59"/>
  <c r="U184" i="60"/>
  <c r="U370" i="59"/>
  <c r="U10" i="59"/>
  <c r="M8" i="56"/>
  <c r="R129" i="60"/>
  <c r="S129" i="59"/>
  <c r="R66" i="60"/>
  <c r="S66" i="60"/>
  <c r="T66" i="60"/>
  <c r="J38" i="56"/>
  <c r="R33" i="60"/>
  <c r="S33" i="60"/>
  <c r="T33" i="60"/>
  <c r="U33" i="60"/>
  <c r="V37" i="60"/>
  <c r="V25" i="60"/>
  <c r="V24" i="59"/>
  <c r="V24" i="60"/>
  <c r="V108" i="59"/>
  <c r="V108" i="60"/>
  <c r="V147" i="60"/>
  <c r="V90" i="60"/>
  <c r="V187" i="60"/>
  <c r="H15" i="55"/>
  <c r="H14" i="55"/>
  <c r="H16" i="55"/>
  <c r="I10" i="55"/>
  <c r="I11" i="55"/>
  <c r="I13" i="55"/>
  <c r="V203" i="58"/>
  <c r="S129" i="60"/>
  <c r="T129" i="59"/>
  <c r="U134" i="60"/>
  <c r="M41" i="56"/>
  <c r="S3" i="60"/>
  <c r="T3" i="59"/>
  <c r="S109" i="60"/>
  <c r="K40" i="56"/>
  <c r="T109" i="59"/>
  <c r="V181" i="59"/>
  <c r="V181" i="60"/>
  <c r="V367" i="59"/>
  <c r="V186" i="59"/>
  <c r="N6" i="56"/>
  <c r="V182" i="59"/>
  <c r="V182" i="60"/>
  <c r="V368" i="59"/>
  <c r="V138" i="59"/>
  <c r="V138" i="60"/>
  <c r="Y1" i="58"/>
  <c r="W1" i="59"/>
  <c r="X4" i="58"/>
  <c r="W4" i="59"/>
  <c r="W4" i="60"/>
  <c r="X32" i="58"/>
  <c r="W32" i="59"/>
  <c r="W32" i="60"/>
  <c r="X23" i="58"/>
  <c r="W23" i="59"/>
  <c r="W23" i="60"/>
  <c r="X36" i="58"/>
  <c r="W36" i="59"/>
  <c r="W36" i="60"/>
  <c r="X28" i="58"/>
  <c r="W28" i="59"/>
  <c r="W28" i="60"/>
  <c r="X31" i="58"/>
  <c r="W31" i="59"/>
  <c r="W31" i="60"/>
  <c r="X35" i="58"/>
  <c r="W35" i="59"/>
  <c r="W35" i="60"/>
  <c r="X74" i="58"/>
  <c r="X77" i="58"/>
  <c r="W77" i="59"/>
  <c r="W77" i="60"/>
  <c r="X80" i="58"/>
  <c r="W80" i="59"/>
  <c r="W80" i="60"/>
  <c r="X87" i="58"/>
  <c r="W87" i="59"/>
  <c r="W87" i="60"/>
  <c r="X104" i="58"/>
  <c r="X142" i="58"/>
  <c r="W142" i="59"/>
  <c r="W142" i="60"/>
  <c r="X128" i="58"/>
  <c r="W128" i="59"/>
  <c r="X135" i="58"/>
  <c r="W135" i="59"/>
  <c r="W135" i="60"/>
  <c r="X123" i="58"/>
  <c r="W123" i="59"/>
  <c r="W123" i="60"/>
  <c r="X146" i="58"/>
  <c r="X159" i="58"/>
  <c r="W159" i="59"/>
  <c r="W159" i="60"/>
  <c r="X162" i="58"/>
  <c r="W162" i="59"/>
  <c r="W162" i="60"/>
  <c r="X183" i="58"/>
  <c r="X195" i="58"/>
  <c r="X177" i="58"/>
  <c r="X226" i="58"/>
  <c r="X228" i="58"/>
  <c r="W1" i="60"/>
  <c r="X165" i="58"/>
  <c r="X186" i="58"/>
  <c r="X185" i="58"/>
  <c r="W185" i="59"/>
  <c r="W185" i="60"/>
  <c r="X163" i="58"/>
  <c r="W163" i="59"/>
  <c r="W163" i="60"/>
  <c r="X150" i="58"/>
  <c r="W150" i="59"/>
  <c r="W150" i="60"/>
  <c r="X149" i="58"/>
  <c r="W149" i="59"/>
  <c r="W149" i="60"/>
  <c r="X133" i="58"/>
  <c r="W133" i="59"/>
  <c r="W133" i="60"/>
  <c r="X139" i="58"/>
  <c r="W139" i="59"/>
  <c r="W139" i="60"/>
  <c r="X144" i="58"/>
  <c r="W144" i="59"/>
  <c r="W144" i="60"/>
  <c r="X100" i="58"/>
  <c r="W100" i="59"/>
  <c r="W100" i="60"/>
  <c r="X121" i="58"/>
  <c r="X91" i="58"/>
  <c r="W91" i="59"/>
  <c r="W91" i="60"/>
  <c r="X89" i="58"/>
  <c r="W89" i="59"/>
  <c r="W89" i="60"/>
  <c r="X96" i="58"/>
  <c r="W96" i="59"/>
  <c r="W96" i="60"/>
  <c r="X98" i="58"/>
  <c r="W98" i="59"/>
  <c r="X88" i="58"/>
  <c r="W88" i="59"/>
  <c r="W88" i="60"/>
  <c r="X63" i="58"/>
  <c r="W63" i="59"/>
  <c r="W63" i="60"/>
  <c r="X64" i="58"/>
  <c r="W64" i="59"/>
  <c r="W64" i="60"/>
  <c r="X25" i="58"/>
  <c r="W25" i="59"/>
  <c r="W25" i="60"/>
  <c r="X180" i="58"/>
  <c r="X191" i="58"/>
  <c r="W191" i="59"/>
  <c r="W191" i="60"/>
  <c r="X173" i="58"/>
  <c r="X190" i="58"/>
  <c r="W190" i="59"/>
  <c r="W190" i="60"/>
  <c r="X176" i="58"/>
  <c r="X187" i="58"/>
  <c r="W187" i="59"/>
  <c r="W187" i="60"/>
  <c r="X179" i="58"/>
  <c r="X175" i="58"/>
  <c r="X171" i="58"/>
  <c r="X166" i="58"/>
  <c r="X160" i="58"/>
  <c r="X172" i="58"/>
  <c r="W172" i="59"/>
  <c r="W172" i="60"/>
  <c r="X157" i="58"/>
  <c r="W157" i="59"/>
  <c r="W157" i="60"/>
  <c r="X84" i="58"/>
  <c r="X136" i="58"/>
  <c r="W136" i="59"/>
  <c r="W136" i="60"/>
  <c r="X118" i="58"/>
  <c r="W118" i="59"/>
  <c r="W118" i="60"/>
  <c r="X120" i="58"/>
  <c r="W120" i="59"/>
  <c r="W120" i="60"/>
  <c r="X119" i="58"/>
  <c r="W119" i="59"/>
  <c r="W119" i="60"/>
  <c r="X110" i="58"/>
  <c r="W110" i="59"/>
  <c r="W110" i="60"/>
  <c r="X76" i="58"/>
  <c r="W76" i="59"/>
  <c r="W76" i="60"/>
  <c r="X106" i="58"/>
  <c r="W106" i="59"/>
  <c r="W106" i="60"/>
  <c r="X92" i="58"/>
  <c r="X53" i="58"/>
  <c r="W53" i="59"/>
  <c r="W53" i="60"/>
  <c r="X67" i="58"/>
  <c r="W67" i="59"/>
  <c r="W67" i="60"/>
  <c r="X229" i="58"/>
  <c r="X174" i="58"/>
  <c r="W174" i="59"/>
  <c r="W174" i="60"/>
  <c r="X155" i="58"/>
  <c r="W155" i="59"/>
  <c r="W155" i="60"/>
  <c r="X125" i="58"/>
  <c r="W125" i="59"/>
  <c r="W125" i="60"/>
  <c r="X132" i="58"/>
  <c r="W132" i="59"/>
  <c r="X116" i="58"/>
  <c r="W116" i="59"/>
  <c r="W116" i="60"/>
  <c r="X112" i="58"/>
  <c r="W112" i="59"/>
  <c r="W112" i="60"/>
  <c r="X184" i="58"/>
  <c r="X188" i="58"/>
  <c r="W188" i="59"/>
  <c r="W188" i="60"/>
  <c r="X178" i="58"/>
  <c r="X117" i="58"/>
  <c r="W117" i="59"/>
  <c r="W117" i="60"/>
  <c r="X156" i="58"/>
  <c r="W156" i="59"/>
  <c r="W156" i="60"/>
  <c r="X169" i="58"/>
  <c r="W169" i="59"/>
  <c r="W169" i="60"/>
  <c r="X147" i="58"/>
  <c r="W147" i="59"/>
  <c r="W147" i="60"/>
  <c r="X113" i="58"/>
  <c r="W113" i="59"/>
  <c r="W113" i="60"/>
  <c r="X140" i="58"/>
  <c r="W140" i="59"/>
  <c r="W140" i="60"/>
  <c r="X137" i="58"/>
  <c r="W137" i="59"/>
  <c r="W137" i="60"/>
  <c r="X131" i="58"/>
  <c r="W131" i="59"/>
  <c r="W131" i="60"/>
  <c r="X143" i="58"/>
  <c r="W143" i="59"/>
  <c r="W143" i="60"/>
  <c r="X122" i="58"/>
  <c r="W122" i="59"/>
  <c r="W122" i="60"/>
  <c r="X114" i="58"/>
  <c r="W114" i="59"/>
  <c r="W114" i="60"/>
  <c r="X182" i="58"/>
  <c r="X158" i="58"/>
  <c r="W158" i="59"/>
  <c r="W158" i="60"/>
  <c r="X154" i="58"/>
  <c r="W154" i="59"/>
  <c r="W154" i="60"/>
  <c r="X164" i="58"/>
  <c r="W164" i="59"/>
  <c r="W164" i="60"/>
  <c r="X97" i="58"/>
  <c r="W97" i="59"/>
  <c r="W97" i="60"/>
  <c r="X95" i="58"/>
  <c r="W95" i="59"/>
  <c r="W95" i="60"/>
  <c r="X94" i="58"/>
  <c r="W94" i="59"/>
  <c r="W94" i="60"/>
  <c r="X78" i="58"/>
  <c r="W78" i="59"/>
  <c r="W78" i="60"/>
  <c r="X61" i="58"/>
  <c r="W61" i="59"/>
  <c r="W61" i="60"/>
  <c r="X56" i="58"/>
  <c r="W56" i="59"/>
  <c r="W56" i="60"/>
  <c r="X50" i="58"/>
  <c r="W50" i="59"/>
  <c r="W50" i="60"/>
  <c r="X46" i="58"/>
  <c r="W46" i="59"/>
  <c r="W46" i="60"/>
  <c r="X38" i="58"/>
  <c r="W38" i="59"/>
  <c r="W38" i="60"/>
  <c r="X45" i="58"/>
  <c r="X39" i="58"/>
  <c r="W39" i="59"/>
  <c r="W39" i="60"/>
  <c r="X30" i="58"/>
  <c r="W30" i="59"/>
  <c r="W30" i="60"/>
  <c r="X12" i="58"/>
  <c r="W12" i="59"/>
  <c r="W12" i="60"/>
  <c r="X9" i="58"/>
  <c r="W9" i="59"/>
  <c r="W9" i="60"/>
  <c r="X181" i="58"/>
  <c r="X130" i="58"/>
  <c r="W130" i="59"/>
  <c r="W130" i="60"/>
  <c r="X152" i="58"/>
  <c r="W152" i="59"/>
  <c r="W152" i="60"/>
  <c r="X153" i="58"/>
  <c r="W153" i="59"/>
  <c r="X138" i="58"/>
  <c r="W138" i="59"/>
  <c r="W138" i="60"/>
  <c r="X134" i="58"/>
  <c r="X111" i="58"/>
  <c r="W111" i="59"/>
  <c r="W111" i="60"/>
  <c r="X86" i="58"/>
  <c r="W86" i="59"/>
  <c r="W86" i="60"/>
  <c r="X82" i="58"/>
  <c r="W82" i="59"/>
  <c r="W82" i="60"/>
  <c r="X83" i="58"/>
  <c r="W83" i="59"/>
  <c r="W83" i="60"/>
  <c r="X71" i="58"/>
  <c r="W71" i="59"/>
  <c r="W71" i="60"/>
  <c r="X57" i="58"/>
  <c r="W57" i="59"/>
  <c r="W57" i="60"/>
  <c r="X60" i="58"/>
  <c r="W60" i="59"/>
  <c r="W60" i="60"/>
  <c r="X54" i="58"/>
  <c r="W54" i="59"/>
  <c r="W54" i="60"/>
  <c r="X55" i="58"/>
  <c r="W55" i="59"/>
  <c r="W55" i="60"/>
  <c r="X24" i="58"/>
  <c r="W24" i="59"/>
  <c r="W24" i="60"/>
  <c r="X20" i="58"/>
  <c r="W20" i="59"/>
  <c r="X14" i="58"/>
  <c r="W14" i="59"/>
  <c r="W14" i="60"/>
  <c r="X3" i="58"/>
  <c r="X58" i="58"/>
  <c r="X51" i="58"/>
  <c r="W51" i="59"/>
  <c r="W51" i="60"/>
  <c r="X43" i="58"/>
  <c r="W43" i="59"/>
  <c r="W43" i="60"/>
  <c r="X49" i="58"/>
  <c r="W49" i="59"/>
  <c r="W49" i="60"/>
  <c r="X5" i="58"/>
  <c r="X167" i="58"/>
  <c r="W167" i="59"/>
  <c r="W167" i="60"/>
  <c r="X126" i="58"/>
  <c r="W126" i="59"/>
  <c r="W126" i="60"/>
  <c r="X68" i="58"/>
  <c r="W68" i="59"/>
  <c r="W68" i="60"/>
  <c r="X59" i="58"/>
  <c r="W59" i="59"/>
  <c r="W59" i="60"/>
  <c r="X69" i="58"/>
  <c r="W69" i="59"/>
  <c r="X48" i="58"/>
  <c r="W48" i="59"/>
  <c r="W48" i="60"/>
  <c r="X47" i="58"/>
  <c r="W47" i="59"/>
  <c r="W47" i="60"/>
  <c r="X6" i="58"/>
  <c r="W6" i="59"/>
  <c r="W6" i="60"/>
  <c r="X99" i="58"/>
  <c r="W99" i="59"/>
  <c r="W99" i="60"/>
  <c r="X21" i="58"/>
  <c r="W21" i="59"/>
  <c r="W21" i="60"/>
  <c r="X7" i="58"/>
  <c r="W7" i="59"/>
  <c r="W7" i="60"/>
  <c r="X10" i="58"/>
  <c r="X170" i="58"/>
  <c r="W170" i="59"/>
  <c r="W170" i="60"/>
  <c r="X161" i="58"/>
  <c r="W161" i="59"/>
  <c r="X127" i="58"/>
  <c r="W127" i="59"/>
  <c r="W127" i="60"/>
  <c r="X105" i="58"/>
  <c r="W105" i="59"/>
  <c r="W105" i="60"/>
  <c r="X102" i="58"/>
  <c r="X66" i="58"/>
  <c r="X85" i="58"/>
  <c r="W85" i="59"/>
  <c r="W85" i="60"/>
  <c r="X62" i="58"/>
  <c r="W62" i="59"/>
  <c r="W62" i="60"/>
  <c r="X65" i="58"/>
  <c r="X44" i="58"/>
  <c r="W44" i="59"/>
  <c r="W44" i="60"/>
  <c r="X42" i="58"/>
  <c r="X19" i="58"/>
  <c r="W19" i="59"/>
  <c r="W19" i="60"/>
  <c r="X16" i="58"/>
  <c r="W16" i="59"/>
  <c r="W16" i="60"/>
  <c r="X13" i="58"/>
  <c r="W13" i="59"/>
  <c r="W13" i="60"/>
  <c r="X11" i="58"/>
  <c r="W11" i="59"/>
  <c r="W11" i="60"/>
  <c r="X8" i="58"/>
  <c r="W8" i="59"/>
  <c r="W8" i="60"/>
  <c r="X40" i="58"/>
  <c r="W40" i="59"/>
  <c r="W40" i="60"/>
  <c r="X107" i="58"/>
  <c r="W107" i="59"/>
  <c r="W107" i="60"/>
  <c r="X189" i="58"/>
  <c r="W189" i="59"/>
  <c r="W189" i="60"/>
  <c r="X168" i="58"/>
  <c r="W168" i="59"/>
  <c r="W168" i="60"/>
  <c r="X93" i="58"/>
  <c r="W93" i="59"/>
  <c r="W93" i="60"/>
  <c r="X108" i="58"/>
  <c r="W108" i="59"/>
  <c r="W108" i="60"/>
  <c r="X115" i="58"/>
  <c r="W115" i="59"/>
  <c r="W115" i="60"/>
  <c r="X73" i="58"/>
  <c r="W73" i="59"/>
  <c r="W73" i="60"/>
  <c r="X90" i="58"/>
  <c r="W90" i="59"/>
  <c r="W90" i="60"/>
  <c r="X109" i="58"/>
  <c r="X52" i="58"/>
  <c r="X29" i="58"/>
  <c r="W29" i="59"/>
  <c r="W29" i="60"/>
  <c r="X34" i="58"/>
  <c r="X15" i="58"/>
  <c r="W15" i="59"/>
  <c r="W15" i="60"/>
  <c r="X101" i="58"/>
  <c r="W101" i="59"/>
  <c r="W101" i="60"/>
  <c r="X26" i="58"/>
  <c r="W26" i="59"/>
  <c r="W26" i="60"/>
  <c r="X70" i="58"/>
  <c r="X124" i="58"/>
  <c r="W124" i="59"/>
  <c r="W124" i="60"/>
  <c r="X37" i="58"/>
  <c r="W37" i="59"/>
  <c r="W37" i="60"/>
  <c r="X129" i="58"/>
  <c r="X148" i="58"/>
  <c r="W148" i="59"/>
  <c r="W148" i="60"/>
  <c r="X75" i="58"/>
  <c r="W75" i="59"/>
  <c r="W75" i="60"/>
  <c r="X41" i="58"/>
  <c r="W41" i="59"/>
  <c r="W41" i="60"/>
  <c r="X17" i="58"/>
  <c r="X18" i="58"/>
  <c r="W18" i="59"/>
  <c r="W18" i="60"/>
  <c r="X151" i="58"/>
  <c r="W151" i="59"/>
  <c r="W151" i="60"/>
  <c r="X81" i="58"/>
  <c r="W81" i="59"/>
  <c r="W81" i="60"/>
  <c r="X27" i="58"/>
  <c r="W27" i="59"/>
  <c r="W27" i="60"/>
  <c r="X79" i="58"/>
  <c r="W79" i="59"/>
  <c r="X145" i="58"/>
  <c r="W145" i="59"/>
  <c r="W145" i="60"/>
  <c r="X141" i="58"/>
  <c r="X22" i="58"/>
  <c r="W22" i="59"/>
  <c r="X33" i="58"/>
  <c r="W33" i="59"/>
  <c r="X72" i="58"/>
  <c r="W72" i="59"/>
  <c r="W72" i="60"/>
  <c r="X103" i="58"/>
  <c r="W103" i="59"/>
  <c r="W103" i="60"/>
  <c r="U17" i="60"/>
  <c r="M35" i="56"/>
  <c r="M18" i="56"/>
  <c r="M25" i="56"/>
  <c r="T216" i="58"/>
  <c r="U213" i="58"/>
  <c r="R5" i="60"/>
  <c r="R193" i="60"/>
  <c r="R195" i="60"/>
  <c r="S5" i="59"/>
  <c r="K30" i="56"/>
  <c r="V20" i="60"/>
  <c r="J36" i="56"/>
  <c r="O375" i="59"/>
  <c r="O377" i="59"/>
  <c r="O379" i="59"/>
  <c r="O376" i="59"/>
  <c r="N375" i="59"/>
  <c r="N377" i="59"/>
  <c r="N379" i="59"/>
  <c r="N376" i="59"/>
  <c r="L7" i="55"/>
  <c r="Q198" i="59"/>
  <c r="Q200" i="59"/>
  <c r="Q197" i="59"/>
  <c r="U104" i="60"/>
  <c r="S121" i="60"/>
  <c r="T121" i="59"/>
  <c r="P372" i="59"/>
  <c r="V22" i="60"/>
  <c r="V141" i="59"/>
  <c r="V141" i="60"/>
  <c r="V34" i="59"/>
  <c r="V34" i="60"/>
  <c r="V42" i="59"/>
  <c r="N11" i="56"/>
  <c r="V104" i="59"/>
  <c r="N14" i="56"/>
  <c r="V173" i="59"/>
  <c r="V173" i="60"/>
  <c r="V183" i="59"/>
  <c r="V183" i="60"/>
  <c r="V369" i="59"/>
  <c r="V160" i="59"/>
  <c r="V160" i="60"/>
  <c r="V45" i="59"/>
  <c r="V45" i="60"/>
  <c r="V66" i="59"/>
  <c r="N12" i="56"/>
  <c r="U186" i="60"/>
  <c r="M32" i="56"/>
  <c r="U165" i="60"/>
  <c r="M31" i="56"/>
  <c r="U84" i="60"/>
  <c r="M39" i="56"/>
  <c r="M4" i="55"/>
  <c r="M19" i="56"/>
  <c r="T194" i="60"/>
  <c r="V33" i="60"/>
  <c r="V176" i="59"/>
  <c r="V176" i="60"/>
  <c r="V362" i="59"/>
  <c r="V10" i="59"/>
  <c r="N8" i="56"/>
  <c r="U42" i="60"/>
  <c r="M37" i="56"/>
  <c r="L23" i="56"/>
  <c r="I23" i="55"/>
  <c r="N28" i="55"/>
  <c r="V70" i="59"/>
  <c r="V70" i="60"/>
  <c r="V79" i="60"/>
  <c r="V177" i="59"/>
  <c r="V177" i="60"/>
  <c r="V363" i="59"/>
  <c r="W194" i="58"/>
  <c r="W193" i="58"/>
  <c r="W202" i="58"/>
  <c r="W201" i="58"/>
  <c r="W199" i="58"/>
  <c r="W196" i="58"/>
  <c r="W200" i="58"/>
  <c r="N4" i="56"/>
  <c r="N10" i="56"/>
  <c r="W207" i="58"/>
  <c r="V84" i="59"/>
  <c r="N13" i="56"/>
  <c r="V178" i="59"/>
  <c r="V178" i="60"/>
  <c r="V364" i="59"/>
  <c r="V146" i="59"/>
  <c r="V146" i="60"/>
  <c r="V180" i="59"/>
  <c r="V180" i="60"/>
  <c r="V366" i="59"/>
  <c r="V128" i="60"/>
  <c r="V175" i="59"/>
  <c r="N16" i="56"/>
  <c r="V58" i="59"/>
  <c r="V58" i="60"/>
  <c r="V214" i="58"/>
  <c r="M6" i="55"/>
  <c r="M22" i="55"/>
  <c r="M21" i="56"/>
  <c r="I49" i="56"/>
  <c r="J21" i="55"/>
  <c r="R196" i="59"/>
  <c r="U66" i="60"/>
  <c r="M38" i="56"/>
  <c r="V165" i="59"/>
  <c r="N5" i="56"/>
  <c r="U10" i="60"/>
  <c r="M34" i="56"/>
  <c r="U171" i="60"/>
  <c r="M33" i="56"/>
  <c r="V65" i="59"/>
  <c r="V65" i="60"/>
  <c r="V98" i="60"/>
  <c r="V184" i="59"/>
  <c r="V184" i="60"/>
  <c r="V370" i="59"/>
  <c r="V166" i="59"/>
  <c r="V166" i="60"/>
  <c r="V92" i="59"/>
  <c r="V92" i="60"/>
  <c r="N5" i="55"/>
  <c r="N20" i="56"/>
  <c r="W209" i="58"/>
  <c r="W210" i="58"/>
  <c r="W211" i="58"/>
  <c r="V179" i="59"/>
  <c r="V179" i="60"/>
  <c r="V365" i="59"/>
  <c r="M3" i="55"/>
  <c r="V198" i="58"/>
  <c r="V205" i="58"/>
  <c r="R26" i="55"/>
  <c r="R27" i="55"/>
  <c r="J44" i="56"/>
  <c r="J47" i="56"/>
  <c r="K9" i="55"/>
  <c r="X221" i="58"/>
  <c r="Y218" i="58"/>
  <c r="V17" i="59"/>
  <c r="N9" i="56"/>
  <c r="Q196" i="60"/>
  <c r="I18" i="55"/>
  <c r="I19" i="55"/>
  <c r="V74" i="59"/>
  <c r="V74" i="60"/>
  <c r="V132" i="59"/>
  <c r="V132" i="60"/>
  <c r="V102" i="59"/>
  <c r="V102" i="60"/>
  <c r="V153" i="60"/>
  <c r="V69" i="60"/>
  <c r="V171" i="59"/>
  <c r="N7" i="56"/>
  <c r="V161" i="60"/>
  <c r="V134" i="59"/>
  <c r="N15" i="56"/>
  <c r="V52" i="59"/>
  <c r="V52" i="60"/>
  <c r="U175" i="60"/>
  <c r="M42" i="56"/>
  <c r="N8" i="55"/>
  <c r="W203" i="58"/>
  <c r="Q372" i="59"/>
  <c r="Q376" i="59"/>
  <c r="U216" i="58"/>
  <c r="V213" i="58"/>
  <c r="I14" i="55"/>
  <c r="I16" i="55"/>
  <c r="I15" i="55"/>
  <c r="J10" i="55"/>
  <c r="J11" i="55"/>
  <c r="J13" i="55"/>
  <c r="W180" i="59"/>
  <c r="W180" i="60"/>
  <c r="W366" i="59"/>
  <c r="T109" i="60"/>
  <c r="U109" i="59"/>
  <c r="L40" i="56"/>
  <c r="N18" i="56"/>
  <c r="Y221" i="58"/>
  <c r="Z218" i="58"/>
  <c r="V175" i="60"/>
  <c r="N42" i="56"/>
  <c r="N3" i="55"/>
  <c r="W198" i="58"/>
  <c r="W205" i="58"/>
  <c r="S26" i="55"/>
  <c r="S27" i="55"/>
  <c r="J49" i="56"/>
  <c r="M7" i="55"/>
  <c r="N4" i="55"/>
  <c r="N19" i="56"/>
  <c r="U194" i="60"/>
  <c r="V104" i="60"/>
  <c r="S5" i="60"/>
  <c r="S193" i="60"/>
  <c r="S195" i="60"/>
  <c r="T5" i="59"/>
  <c r="M23" i="56"/>
  <c r="W22" i="60"/>
  <c r="W66" i="59"/>
  <c r="O12" i="56"/>
  <c r="W10" i="59"/>
  <c r="O8" i="56"/>
  <c r="W134" i="59"/>
  <c r="O15" i="56"/>
  <c r="W171" i="59"/>
  <c r="O7" i="56"/>
  <c r="W173" i="59"/>
  <c r="W173" i="60"/>
  <c r="W146" i="59"/>
  <c r="W146" i="60"/>
  <c r="Z1" i="58"/>
  <c r="Y5" i="58"/>
  <c r="X1" i="59"/>
  <c r="Y14" i="58"/>
  <c r="X14" i="59"/>
  <c r="X14" i="60"/>
  <c r="Y20" i="58"/>
  <c r="X20" i="59"/>
  <c r="Y29" i="58"/>
  <c r="X29" i="59"/>
  <c r="X29" i="60"/>
  <c r="Y32" i="58"/>
  <c r="X32" i="59"/>
  <c r="X32" i="60"/>
  <c r="Y36" i="58"/>
  <c r="X36" i="59"/>
  <c r="X36" i="60"/>
  <c r="Y57" i="58"/>
  <c r="X57" i="59"/>
  <c r="X57" i="60"/>
  <c r="Y55" i="58"/>
  <c r="X55" i="59"/>
  <c r="X55" i="60"/>
  <c r="Y74" i="58"/>
  <c r="X74" i="59"/>
  <c r="Y83" i="58"/>
  <c r="X83" i="59"/>
  <c r="X83" i="60"/>
  <c r="Y52" i="58"/>
  <c r="Y121" i="58"/>
  <c r="Y143" i="58"/>
  <c r="X143" i="59"/>
  <c r="X143" i="60"/>
  <c r="Y154" i="58"/>
  <c r="X154" i="59"/>
  <c r="X154" i="60"/>
  <c r="Y160" i="58"/>
  <c r="Y162" i="58"/>
  <c r="X162" i="59"/>
  <c r="X162" i="60"/>
  <c r="Y157" i="58"/>
  <c r="X157" i="59"/>
  <c r="X157" i="60"/>
  <c r="Y166" i="58"/>
  <c r="Y185" i="58"/>
  <c r="X185" i="59"/>
  <c r="X185" i="60"/>
  <c r="Y168" i="58"/>
  <c r="X168" i="59"/>
  <c r="X168" i="60"/>
  <c r="Y195" i="58"/>
  <c r="Y226" i="58"/>
  <c r="Y228" i="58"/>
  <c r="X1" i="60"/>
  <c r="Y174" i="58"/>
  <c r="X174" i="59"/>
  <c r="X174" i="60"/>
  <c r="Y171" i="58"/>
  <c r="Y158" i="58"/>
  <c r="X158" i="59"/>
  <c r="X158" i="60"/>
  <c r="Y161" i="58"/>
  <c r="X161" i="59"/>
  <c r="Y159" i="58"/>
  <c r="X159" i="59"/>
  <c r="X159" i="60"/>
  <c r="Y147" i="58"/>
  <c r="X147" i="59"/>
  <c r="X147" i="60"/>
  <c r="Y144" i="58"/>
  <c r="X144" i="59"/>
  <c r="X144" i="60"/>
  <c r="Y136" i="58"/>
  <c r="X136" i="59"/>
  <c r="X136" i="60"/>
  <c r="Y130" i="58"/>
  <c r="X130" i="59"/>
  <c r="X130" i="60"/>
  <c r="Y122" i="58"/>
  <c r="X122" i="59"/>
  <c r="X122" i="60"/>
  <c r="Y133" i="58"/>
  <c r="X133" i="59"/>
  <c r="X133" i="60"/>
  <c r="Y100" i="58"/>
  <c r="X100" i="59"/>
  <c r="X100" i="60"/>
  <c r="Y105" i="58"/>
  <c r="X105" i="59"/>
  <c r="X105" i="60"/>
  <c r="Y119" i="58"/>
  <c r="X119" i="59"/>
  <c r="X119" i="60"/>
  <c r="Y97" i="58"/>
  <c r="X97" i="59"/>
  <c r="X97" i="60"/>
  <c r="Y73" i="58"/>
  <c r="X73" i="59"/>
  <c r="X73" i="60"/>
  <c r="Y90" i="58"/>
  <c r="X90" i="59"/>
  <c r="X90" i="60"/>
  <c r="Y87" i="58"/>
  <c r="X87" i="59"/>
  <c r="X87" i="60"/>
  <c r="Y69" i="58"/>
  <c r="X69" i="59"/>
  <c r="Y67" i="58"/>
  <c r="X67" i="59"/>
  <c r="X67" i="60"/>
  <c r="Y56" i="58"/>
  <c r="X56" i="59"/>
  <c r="X56" i="60"/>
  <c r="Y54" i="58"/>
  <c r="X54" i="59"/>
  <c r="X54" i="60"/>
  <c r="Y46" i="58"/>
  <c r="X46" i="59"/>
  <c r="X46" i="60"/>
  <c r="Y42" i="58"/>
  <c r="Y40" i="58"/>
  <c r="X40" i="59"/>
  <c r="X40" i="60"/>
  <c r="Y188" i="58"/>
  <c r="X188" i="59"/>
  <c r="X188" i="60"/>
  <c r="Y117" i="58"/>
  <c r="X117" i="59"/>
  <c r="X117" i="60"/>
  <c r="Y169" i="58"/>
  <c r="X169" i="59"/>
  <c r="X169" i="60"/>
  <c r="Y155" i="58"/>
  <c r="X155" i="59"/>
  <c r="X155" i="60"/>
  <c r="Y132" i="58"/>
  <c r="X132" i="59"/>
  <c r="Y127" i="58"/>
  <c r="X127" i="59"/>
  <c r="X127" i="60"/>
  <c r="Y142" i="58"/>
  <c r="X142" i="59"/>
  <c r="X142" i="60"/>
  <c r="Y135" i="58"/>
  <c r="X135" i="59"/>
  <c r="X135" i="60"/>
  <c r="Y139" i="58"/>
  <c r="X139" i="59"/>
  <c r="X139" i="60"/>
  <c r="Y123" i="58"/>
  <c r="X123" i="59"/>
  <c r="X123" i="60"/>
  <c r="Y107" i="58"/>
  <c r="X107" i="59"/>
  <c r="X107" i="60"/>
  <c r="Y115" i="58"/>
  <c r="X115" i="59"/>
  <c r="X115" i="60"/>
  <c r="Y88" i="58"/>
  <c r="X88" i="59"/>
  <c r="X88" i="60"/>
  <c r="Y101" i="58"/>
  <c r="X101" i="59"/>
  <c r="X101" i="60"/>
  <c r="Y165" i="58"/>
  <c r="Y152" i="58"/>
  <c r="X152" i="59"/>
  <c r="X152" i="60"/>
  <c r="Y190" i="58"/>
  <c r="X190" i="59"/>
  <c r="X190" i="60"/>
  <c r="Y176" i="58"/>
  <c r="Y187" i="58"/>
  <c r="X187" i="59"/>
  <c r="X187" i="60"/>
  <c r="Y179" i="58"/>
  <c r="Y113" i="58"/>
  <c r="X113" i="59"/>
  <c r="X113" i="60"/>
  <c r="Y84" i="58"/>
  <c r="Y108" i="58"/>
  <c r="X108" i="59"/>
  <c r="X108" i="60"/>
  <c r="Y120" i="58"/>
  <c r="X120" i="59"/>
  <c r="X120" i="60"/>
  <c r="Y191" i="58"/>
  <c r="X191" i="59"/>
  <c r="X191" i="60"/>
  <c r="Y182" i="58"/>
  <c r="Y163" i="58"/>
  <c r="X163" i="59"/>
  <c r="X163" i="60"/>
  <c r="Y138" i="58"/>
  <c r="X138" i="59"/>
  <c r="X138" i="60"/>
  <c r="Y125" i="58"/>
  <c r="X125" i="59"/>
  <c r="X125" i="60"/>
  <c r="Y112" i="58"/>
  <c r="X112" i="59"/>
  <c r="X112" i="60"/>
  <c r="Y102" i="58"/>
  <c r="X102" i="59"/>
  <c r="Y109" i="58"/>
  <c r="Y96" i="58"/>
  <c r="X96" i="59"/>
  <c r="X96" i="60"/>
  <c r="Y89" i="58"/>
  <c r="X89" i="59"/>
  <c r="X89" i="60"/>
  <c r="Y86" i="58"/>
  <c r="X86" i="59"/>
  <c r="X86" i="60"/>
  <c r="Y99" i="58"/>
  <c r="X99" i="59"/>
  <c r="X99" i="60"/>
  <c r="Y82" i="58"/>
  <c r="X82" i="59"/>
  <c r="X82" i="60"/>
  <c r="Y85" i="58"/>
  <c r="X85" i="59"/>
  <c r="X85" i="60"/>
  <c r="Y59" i="58"/>
  <c r="X59" i="59"/>
  <c r="X59" i="60"/>
  <c r="Y77" i="58"/>
  <c r="X77" i="59"/>
  <c r="X77" i="60"/>
  <c r="Y63" i="58"/>
  <c r="X63" i="59"/>
  <c r="X63" i="60"/>
  <c r="Y28" i="58"/>
  <c r="X28" i="59"/>
  <c r="X28" i="60"/>
  <c r="Y23" i="58"/>
  <c r="X23" i="59"/>
  <c r="X23" i="60"/>
  <c r="Y184" i="58"/>
  <c r="Y181" i="58"/>
  <c r="Y118" i="58"/>
  <c r="X118" i="59"/>
  <c r="X118" i="60"/>
  <c r="Y68" i="58"/>
  <c r="X68" i="59"/>
  <c r="X68" i="60"/>
  <c r="Y34" i="58"/>
  <c r="Y30" i="58"/>
  <c r="X30" i="59"/>
  <c r="X30" i="60"/>
  <c r="Y15" i="58"/>
  <c r="X15" i="59"/>
  <c r="X15" i="60"/>
  <c r="Y173" i="58"/>
  <c r="X173" i="59"/>
  <c r="X173" i="60"/>
  <c r="Y170" i="58"/>
  <c r="X170" i="59"/>
  <c r="X170" i="60"/>
  <c r="Y175" i="58"/>
  <c r="Y95" i="58"/>
  <c r="X95" i="59"/>
  <c r="X95" i="60"/>
  <c r="Y98" i="58"/>
  <c r="X98" i="59"/>
  <c r="Y92" i="58"/>
  <c r="Y78" i="58"/>
  <c r="X78" i="59"/>
  <c r="X78" i="60"/>
  <c r="Y71" i="58"/>
  <c r="X71" i="59"/>
  <c r="X71" i="60"/>
  <c r="Y61" i="58"/>
  <c r="X61" i="59"/>
  <c r="X61" i="60"/>
  <c r="Y43" i="58"/>
  <c r="X43" i="59"/>
  <c r="X43" i="60"/>
  <c r="Y39" i="58"/>
  <c r="X39" i="59"/>
  <c r="X39" i="60"/>
  <c r="Y26" i="58"/>
  <c r="X26" i="59"/>
  <c r="X26" i="60"/>
  <c r="Y19" i="58"/>
  <c r="X19" i="59"/>
  <c r="X19" i="60"/>
  <c r="Y16" i="58"/>
  <c r="X16" i="59"/>
  <c r="X16" i="60"/>
  <c r="Y11" i="58"/>
  <c r="X11" i="59"/>
  <c r="X11" i="60"/>
  <c r="Y4" i="58"/>
  <c r="X4" i="59"/>
  <c r="X4" i="60"/>
  <c r="Y9" i="58"/>
  <c r="X9" i="59"/>
  <c r="X9" i="60"/>
  <c r="Y177" i="58"/>
  <c r="Y189" i="58"/>
  <c r="X189" i="59"/>
  <c r="X189" i="60"/>
  <c r="Y91" i="58"/>
  <c r="X91" i="59"/>
  <c r="X91" i="60"/>
  <c r="Y8" i="58"/>
  <c r="X8" i="59"/>
  <c r="X8" i="60"/>
  <c r="Y156" i="58"/>
  <c r="X156" i="59"/>
  <c r="X156" i="60"/>
  <c r="Y146" i="58"/>
  <c r="X146" i="59"/>
  <c r="X146" i="60"/>
  <c r="Y137" i="58"/>
  <c r="X137" i="59"/>
  <c r="X137" i="60"/>
  <c r="Y131" i="58"/>
  <c r="X131" i="59"/>
  <c r="X131" i="60"/>
  <c r="Y114" i="58"/>
  <c r="X114" i="59"/>
  <c r="X114" i="60"/>
  <c r="Y134" i="58"/>
  <c r="Y140" i="58"/>
  <c r="X140" i="59"/>
  <c r="X140" i="60"/>
  <c r="Y104" i="58"/>
  <c r="Y111" i="58"/>
  <c r="X111" i="59"/>
  <c r="X111" i="60"/>
  <c r="Y106" i="58"/>
  <c r="X106" i="59"/>
  <c r="X106" i="60"/>
  <c r="Y62" i="58"/>
  <c r="X62" i="59"/>
  <c r="X62" i="60"/>
  <c r="Y45" i="58"/>
  <c r="Y47" i="58"/>
  <c r="X47" i="59"/>
  <c r="X47" i="60"/>
  <c r="Y25" i="58"/>
  <c r="X25" i="59"/>
  <c r="X25" i="60"/>
  <c r="Y7" i="58"/>
  <c r="X7" i="59"/>
  <c r="X7" i="60"/>
  <c r="Y10" i="58"/>
  <c r="Y167" i="58"/>
  <c r="X167" i="59"/>
  <c r="X167" i="60"/>
  <c r="Y229" i="58"/>
  <c r="Y180" i="58"/>
  <c r="Y186" i="58"/>
  <c r="Y149" i="58"/>
  <c r="X149" i="59"/>
  <c r="X149" i="60"/>
  <c r="Y66" i="58"/>
  <c r="Y58" i="58"/>
  <c r="X58" i="59"/>
  <c r="X58" i="60"/>
  <c r="Y60" i="58"/>
  <c r="X60" i="59"/>
  <c r="X60" i="60"/>
  <c r="Y51" i="58"/>
  <c r="X51" i="59"/>
  <c r="X51" i="60"/>
  <c r="Y50" i="58"/>
  <c r="X50" i="59"/>
  <c r="X50" i="60"/>
  <c r="Y49" i="58"/>
  <c r="X49" i="59"/>
  <c r="X49" i="60"/>
  <c r="Y38" i="58"/>
  <c r="X38" i="59"/>
  <c r="X38" i="60"/>
  <c r="Y48" i="58"/>
  <c r="X48" i="59"/>
  <c r="X48" i="60"/>
  <c r="Y35" i="58"/>
  <c r="X35" i="59"/>
  <c r="X35" i="60"/>
  <c r="Y21" i="58"/>
  <c r="X21" i="59"/>
  <c r="X21" i="60"/>
  <c r="Y13" i="58"/>
  <c r="X13" i="59"/>
  <c r="X13" i="60"/>
  <c r="Y6" i="58"/>
  <c r="X6" i="59"/>
  <c r="X6" i="60"/>
  <c r="Y12" i="58"/>
  <c r="X12" i="59"/>
  <c r="X12" i="60"/>
  <c r="Y3" i="58"/>
  <c r="Y183" i="58"/>
  <c r="Y153" i="58"/>
  <c r="X153" i="59"/>
  <c r="Y172" i="58"/>
  <c r="X172" i="59"/>
  <c r="X172" i="60"/>
  <c r="Y164" i="58"/>
  <c r="X164" i="59"/>
  <c r="X164" i="60"/>
  <c r="Y150" i="58"/>
  <c r="X150" i="59"/>
  <c r="X150" i="60"/>
  <c r="Y126" i="58"/>
  <c r="X126" i="59"/>
  <c r="X126" i="60"/>
  <c r="Y128" i="58"/>
  <c r="X128" i="59"/>
  <c r="Y110" i="58"/>
  <c r="X110" i="59"/>
  <c r="X110" i="60"/>
  <c r="Y76" i="58"/>
  <c r="X76" i="59"/>
  <c r="X76" i="60"/>
  <c r="Y94" i="58"/>
  <c r="X94" i="59"/>
  <c r="X94" i="60"/>
  <c r="Y93" i="58"/>
  <c r="X93" i="59"/>
  <c r="X93" i="60"/>
  <c r="Y80" i="58"/>
  <c r="X80" i="59"/>
  <c r="X80" i="60"/>
  <c r="Y65" i="58"/>
  <c r="Y44" i="58"/>
  <c r="X44" i="59"/>
  <c r="X44" i="60"/>
  <c r="Y31" i="58"/>
  <c r="X31" i="59"/>
  <c r="X31" i="60"/>
  <c r="Y24" i="58"/>
  <c r="X24" i="59"/>
  <c r="X24" i="60"/>
  <c r="Y178" i="58"/>
  <c r="Y116" i="58"/>
  <c r="X116" i="59"/>
  <c r="X116" i="60"/>
  <c r="Y53" i="58"/>
  <c r="X53" i="59"/>
  <c r="X53" i="60"/>
  <c r="Y64" i="58"/>
  <c r="X64" i="59"/>
  <c r="X64" i="60"/>
  <c r="Y103" i="58"/>
  <c r="X103" i="59"/>
  <c r="X103" i="60"/>
  <c r="Y75" i="58"/>
  <c r="X75" i="59"/>
  <c r="X75" i="60"/>
  <c r="Y22" i="58"/>
  <c r="X22" i="59"/>
  <c r="X22" i="60"/>
  <c r="Y33" i="58"/>
  <c r="X33" i="59"/>
  <c r="Y141" i="58"/>
  <c r="Y37" i="58"/>
  <c r="X37" i="59"/>
  <c r="X37" i="60"/>
  <c r="Y148" i="58"/>
  <c r="X148" i="59"/>
  <c r="X148" i="60"/>
  <c r="Y124" i="58"/>
  <c r="X124" i="59"/>
  <c r="X124" i="60"/>
  <c r="Y145" i="58"/>
  <c r="X145" i="59"/>
  <c r="X145" i="60"/>
  <c r="Y129" i="58"/>
  <c r="Y18" i="58"/>
  <c r="X18" i="59"/>
  <c r="X18" i="60"/>
  <c r="Y81" i="58"/>
  <c r="X81" i="59"/>
  <c r="X81" i="60"/>
  <c r="Y72" i="58"/>
  <c r="X72" i="59"/>
  <c r="X72" i="60"/>
  <c r="Y17" i="58"/>
  <c r="Y79" i="58"/>
  <c r="X79" i="59"/>
  <c r="Y27" i="58"/>
  <c r="X27" i="59"/>
  <c r="X27" i="60"/>
  <c r="Y41" i="58"/>
  <c r="X41" i="59"/>
  <c r="X41" i="60"/>
  <c r="Y70" i="58"/>
  <c r="X70" i="59"/>
  <c r="X70" i="60"/>
  <c r="Y151" i="58"/>
  <c r="X151" i="59"/>
  <c r="X151" i="60"/>
  <c r="R196" i="60"/>
  <c r="J18" i="55"/>
  <c r="J19" i="55"/>
  <c r="R197" i="59"/>
  <c r="R198" i="59"/>
  <c r="O5" i="55"/>
  <c r="X209" i="58"/>
  <c r="X210" i="58"/>
  <c r="X211" i="58"/>
  <c r="O20" i="56"/>
  <c r="V171" i="60"/>
  <c r="N33" i="56"/>
  <c r="W214" i="58"/>
  <c r="N6" i="55"/>
  <c r="N22" i="55"/>
  <c r="N21" i="56"/>
  <c r="W141" i="59"/>
  <c r="W141" i="60"/>
  <c r="W34" i="59"/>
  <c r="W34" i="60"/>
  <c r="W42" i="59"/>
  <c r="O11" i="56"/>
  <c r="W102" i="59"/>
  <c r="W102" i="60"/>
  <c r="W69" i="60"/>
  <c r="W20" i="60"/>
  <c r="W184" i="59"/>
  <c r="W184" i="60"/>
  <c r="W370" i="59"/>
  <c r="W84" i="59"/>
  <c r="O13" i="56"/>
  <c r="W175" i="59"/>
  <c r="O16" i="56"/>
  <c r="W98" i="60"/>
  <c r="W177" i="59"/>
  <c r="W177" i="60"/>
  <c r="W363" i="59"/>
  <c r="K36" i="56"/>
  <c r="K44" i="56"/>
  <c r="K47" i="56"/>
  <c r="T129" i="60"/>
  <c r="U129" i="59"/>
  <c r="O8" i="55"/>
  <c r="V134" i="60"/>
  <c r="N41" i="56"/>
  <c r="P376" i="59"/>
  <c r="P375" i="59"/>
  <c r="P377" i="59"/>
  <c r="P379" i="59"/>
  <c r="W153" i="60"/>
  <c r="W186" i="59"/>
  <c r="O6" i="56"/>
  <c r="J23" i="55"/>
  <c r="O28" i="55"/>
  <c r="V10" i="60"/>
  <c r="N34" i="56"/>
  <c r="T121" i="60"/>
  <c r="U121" i="59"/>
  <c r="W79" i="60"/>
  <c r="W70" i="59"/>
  <c r="W70" i="60"/>
  <c r="W52" i="59"/>
  <c r="W52" i="60"/>
  <c r="W65" i="59"/>
  <c r="W65" i="60"/>
  <c r="W165" i="59"/>
  <c r="O5" i="56"/>
  <c r="W183" i="59"/>
  <c r="W183" i="60"/>
  <c r="W369" i="59"/>
  <c r="W128" i="60"/>
  <c r="W74" i="59"/>
  <c r="W74" i="60"/>
  <c r="V42" i="60"/>
  <c r="N37" i="56"/>
  <c r="W179" i="59"/>
  <c r="W179" i="60"/>
  <c r="W365" i="59"/>
  <c r="L9" i="55"/>
  <c r="W161" i="60"/>
  <c r="W58" i="59"/>
  <c r="W58" i="60"/>
  <c r="W45" i="59"/>
  <c r="W45" i="60"/>
  <c r="W132" i="60"/>
  <c r="W160" i="59"/>
  <c r="W160" i="60"/>
  <c r="W176" i="59"/>
  <c r="W176" i="60"/>
  <c r="W362" i="59"/>
  <c r="S193" i="59"/>
  <c r="V84" i="60"/>
  <c r="N39" i="56"/>
  <c r="W17" i="59"/>
  <c r="O9" i="56"/>
  <c r="V17" i="60"/>
  <c r="N35" i="56"/>
  <c r="V165" i="60"/>
  <c r="N31" i="56"/>
  <c r="V66" i="60"/>
  <c r="N38" i="56"/>
  <c r="W33" i="60"/>
  <c r="X196" i="58"/>
  <c r="X194" i="58"/>
  <c r="X202" i="58"/>
  <c r="X193" i="58"/>
  <c r="X201" i="58"/>
  <c r="X199" i="58"/>
  <c r="X200" i="58"/>
  <c r="O4" i="56"/>
  <c r="O10" i="56"/>
  <c r="X207" i="58"/>
  <c r="W181" i="59"/>
  <c r="W181" i="60"/>
  <c r="W367" i="59"/>
  <c r="W182" i="59"/>
  <c r="W182" i="60"/>
  <c r="W368" i="59"/>
  <c r="W178" i="59"/>
  <c r="W178" i="60"/>
  <c r="W364" i="59"/>
  <c r="W92" i="59"/>
  <c r="W92" i="60"/>
  <c r="W166" i="59"/>
  <c r="W166" i="60"/>
  <c r="W104" i="59"/>
  <c r="O14" i="56"/>
  <c r="V186" i="60"/>
  <c r="N32" i="56"/>
  <c r="T3" i="60"/>
  <c r="T193" i="59"/>
  <c r="L30" i="56"/>
  <c r="L36" i="56"/>
  <c r="L44" i="56"/>
  <c r="L47" i="56"/>
  <c r="U3" i="59"/>
  <c r="Q375" i="59"/>
  <c r="Q377" i="59"/>
  <c r="Q379" i="59"/>
  <c r="R372" i="59"/>
  <c r="R375" i="59"/>
  <c r="R377" i="59"/>
  <c r="K49" i="56"/>
  <c r="X153" i="60"/>
  <c r="X69" i="60"/>
  <c r="X33" i="60"/>
  <c r="X203" i="58"/>
  <c r="J16" i="55"/>
  <c r="J15" i="55"/>
  <c r="J14" i="55"/>
  <c r="K10" i="55"/>
  <c r="K11" i="55"/>
  <c r="K13" i="55"/>
  <c r="V216" i="58"/>
  <c r="W213" i="58"/>
  <c r="S196" i="60"/>
  <c r="K18" i="55"/>
  <c r="K19" i="55"/>
  <c r="W171" i="60"/>
  <c r="O33" i="56"/>
  <c r="U3" i="60"/>
  <c r="V3" i="59"/>
  <c r="K21" i="55"/>
  <c r="S196" i="59"/>
  <c r="P8" i="55"/>
  <c r="X141" i="59"/>
  <c r="X141" i="60"/>
  <c r="X65" i="59"/>
  <c r="X65" i="60"/>
  <c r="X128" i="60"/>
  <c r="X183" i="59"/>
  <c r="X183" i="60"/>
  <c r="X369" i="59"/>
  <c r="X45" i="59"/>
  <c r="X45" i="60"/>
  <c r="X134" i="59"/>
  <c r="P15" i="56"/>
  <c r="X175" i="59"/>
  <c r="P16" i="56"/>
  <c r="X132" i="60"/>
  <c r="X42" i="59"/>
  <c r="P11" i="56"/>
  <c r="X166" i="59"/>
  <c r="X166" i="60"/>
  <c r="W66" i="60"/>
  <c r="O38" i="56"/>
  <c r="R376" i="59"/>
  <c r="U129" i="60"/>
  <c r="V129" i="59"/>
  <c r="Y193" i="58"/>
  <c r="Y196" i="58"/>
  <c r="Y200" i="58"/>
  <c r="Y202" i="58"/>
  <c r="Y194" i="58"/>
  <c r="Y201" i="58"/>
  <c r="Y199" i="58"/>
  <c r="P4" i="56"/>
  <c r="P10" i="56"/>
  <c r="Y207" i="58"/>
  <c r="X84" i="59"/>
  <c r="P13" i="56"/>
  <c r="X52" i="59"/>
  <c r="X52" i="60"/>
  <c r="Y1" i="59"/>
  <c r="AA1" i="58"/>
  <c r="Z5" i="58"/>
  <c r="Z10" i="58"/>
  <c r="Z8" i="58"/>
  <c r="Y8" i="59"/>
  <c r="Y8" i="60"/>
  <c r="Z9" i="58"/>
  <c r="Y9" i="59"/>
  <c r="Y9" i="60"/>
  <c r="Z20" i="58"/>
  <c r="Y20" i="59"/>
  <c r="Z35" i="58"/>
  <c r="Y35" i="59"/>
  <c r="Y35" i="60"/>
  <c r="Z24" i="58"/>
  <c r="Y24" i="59"/>
  <c r="Y24" i="60"/>
  <c r="Z39" i="58"/>
  <c r="Y39" i="59"/>
  <c r="Y39" i="60"/>
  <c r="Z11" i="58"/>
  <c r="Y11" i="59"/>
  <c r="Y11" i="60"/>
  <c r="Z16" i="58"/>
  <c r="Y16" i="59"/>
  <c r="Y16" i="60"/>
  <c r="Z30" i="58"/>
  <c r="Y30" i="59"/>
  <c r="Y30" i="60"/>
  <c r="Z49" i="58"/>
  <c r="Y49" i="59"/>
  <c r="Y49" i="60"/>
  <c r="Z52" i="58"/>
  <c r="Y52" i="59"/>
  <c r="Y52" i="60"/>
  <c r="Z55" i="58"/>
  <c r="Y55" i="59"/>
  <c r="Y55" i="60"/>
  <c r="Z85" i="58"/>
  <c r="Y85" i="59"/>
  <c r="Y85" i="60"/>
  <c r="Z83" i="58"/>
  <c r="Y83" i="59"/>
  <c r="Y83" i="60"/>
  <c r="Z92" i="58"/>
  <c r="Z101" i="58"/>
  <c r="Y101" i="59"/>
  <c r="Y101" i="60"/>
  <c r="Z109" i="58"/>
  <c r="Z89" i="58"/>
  <c r="Y89" i="59"/>
  <c r="Y89" i="60"/>
  <c r="Z98" i="58"/>
  <c r="Y98" i="59"/>
  <c r="Z106" i="58"/>
  <c r="Y106" i="59"/>
  <c r="Y106" i="60"/>
  <c r="Z95" i="58"/>
  <c r="Y95" i="59"/>
  <c r="Y95" i="60"/>
  <c r="Z107" i="58"/>
  <c r="Y107" i="59"/>
  <c r="Y107" i="60"/>
  <c r="Z138" i="58"/>
  <c r="Y138" i="59"/>
  <c r="Y138" i="60"/>
  <c r="Z155" i="58"/>
  <c r="Y155" i="59"/>
  <c r="Y155" i="60"/>
  <c r="Z161" i="58"/>
  <c r="Y161" i="59"/>
  <c r="Z166" i="58"/>
  <c r="Z131" i="58"/>
  <c r="Y131" i="59"/>
  <c r="Y131" i="60"/>
  <c r="Z158" i="58"/>
  <c r="Y158" i="59"/>
  <c r="Y158" i="60"/>
  <c r="Z163" i="58"/>
  <c r="Y163" i="59"/>
  <c r="Y163" i="60"/>
  <c r="Z179" i="58"/>
  <c r="Z187" i="58"/>
  <c r="Y187" i="59"/>
  <c r="Y187" i="60"/>
  <c r="Z195" i="58"/>
  <c r="Z182" i="58"/>
  <c r="Z137" i="58"/>
  <c r="Y137" i="59"/>
  <c r="Y137" i="60"/>
  <c r="Z176" i="58"/>
  <c r="Z190" i="58"/>
  <c r="Y190" i="59"/>
  <c r="Y190" i="60"/>
  <c r="Z229" i="58"/>
  <c r="Z226" i="58"/>
  <c r="Z228" i="58"/>
  <c r="Y1" i="60"/>
  <c r="Z184" i="58"/>
  <c r="Z178" i="58"/>
  <c r="Z117" i="58"/>
  <c r="Y117" i="59"/>
  <c r="Y117" i="60"/>
  <c r="Z162" i="58"/>
  <c r="Y162" i="59"/>
  <c r="Y162" i="60"/>
  <c r="Z125" i="58"/>
  <c r="Y125" i="59"/>
  <c r="Y125" i="60"/>
  <c r="Z140" i="58"/>
  <c r="Y140" i="59"/>
  <c r="Y140" i="60"/>
  <c r="Z100" i="58"/>
  <c r="Y100" i="59"/>
  <c r="Y100" i="60"/>
  <c r="Z108" i="58"/>
  <c r="Y108" i="59"/>
  <c r="Y108" i="60"/>
  <c r="Z115" i="58"/>
  <c r="Y115" i="59"/>
  <c r="Y115" i="60"/>
  <c r="Z86" i="58"/>
  <c r="Y86" i="59"/>
  <c r="Y86" i="60"/>
  <c r="Z82" i="58"/>
  <c r="Y82" i="59"/>
  <c r="Y82" i="60"/>
  <c r="Z58" i="58"/>
  <c r="Y58" i="59"/>
  <c r="Y58" i="60"/>
  <c r="Z80" i="58"/>
  <c r="Y80" i="59"/>
  <c r="Y80" i="60"/>
  <c r="Z65" i="58"/>
  <c r="Y65" i="59"/>
  <c r="Y65" i="60"/>
  <c r="Z50" i="58"/>
  <c r="Y50" i="59"/>
  <c r="Y50" i="60"/>
  <c r="Z57" i="58"/>
  <c r="Y57" i="59"/>
  <c r="Y57" i="60"/>
  <c r="Z165" i="58"/>
  <c r="Z171" i="58"/>
  <c r="Z133" i="58"/>
  <c r="Y133" i="59"/>
  <c r="Y133" i="60"/>
  <c r="Z112" i="58"/>
  <c r="Y112" i="59"/>
  <c r="Y112" i="60"/>
  <c r="Z91" i="58"/>
  <c r="Y91" i="59"/>
  <c r="Y91" i="60"/>
  <c r="Z105" i="58"/>
  <c r="Y105" i="59"/>
  <c r="Y105" i="60"/>
  <c r="Z88" i="58"/>
  <c r="Y88" i="59"/>
  <c r="Y88" i="60"/>
  <c r="Z99" i="58"/>
  <c r="Y99" i="59"/>
  <c r="Y99" i="60"/>
  <c r="Z66" i="58"/>
  <c r="Z71" i="58"/>
  <c r="Y71" i="59"/>
  <c r="Y71" i="60"/>
  <c r="Z59" i="58"/>
  <c r="Y59" i="59"/>
  <c r="Y59" i="60"/>
  <c r="Z69" i="58"/>
  <c r="Y69" i="59"/>
  <c r="Y69" i="60"/>
  <c r="Z62" i="58"/>
  <c r="Y62" i="59"/>
  <c r="Y62" i="60"/>
  <c r="Z191" i="58"/>
  <c r="Y191" i="59"/>
  <c r="Y191" i="60"/>
  <c r="Z177" i="58"/>
  <c r="Z189" i="58"/>
  <c r="Y189" i="59"/>
  <c r="Y189" i="60"/>
  <c r="Z156" i="58"/>
  <c r="Y156" i="59"/>
  <c r="Y156" i="60"/>
  <c r="Z139" i="58"/>
  <c r="Y139" i="59"/>
  <c r="Y139" i="60"/>
  <c r="Z118" i="58"/>
  <c r="Y118" i="59"/>
  <c r="Y118" i="60"/>
  <c r="Z180" i="58"/>
  <c r="Z152" i="58"/>
  <c r="Y152" i="59"/>
  <c r="Y152" i="60"/>
  <c r="Z183" i="58"/>
  <c r="Z186" i="58"/>
  <c r="Z185" i="58"/>
  <c r="Y185" i="59"/>
  <c r="Y185" i="60"/>
  <c r="Z153" i="58"/>
  <c r="Y153" i="59"/>
  <c r="Y153" i="60"/>
  <c r="Z167" i="58"/>
  <c r="Y167" i="59"/>
  <c r="Y167" i="60"/>
  <c r="Z146" i="58"/>
  <c r="Y146" i="59"/>
  <c r="Y146" i="60"/>
  <c r="Z149" i="58"/>
  <c r="Y149" i="59"/>
  <c r="Y149" i="60"/>
  <c r="Z147" i="58"/>
  <c r="Y147" i="59"/>
  <c r="Y147" i="60"/>
  <c r="Z84" i="58"/>
  <c r="Z143" i="58"/>
  <c r="Y143" i="59"/>
  <c r="Y143" i="60"/>
  <c r="Z122" i="58"/>
  <c r="Y122" i="59"/>
  <c r="Y122" i="60"/>
  <c r="Z144" i="58"/>
  <c r="Y144" i="59"/>
  <c r="Y144" i="60"/>
  <c r="Z188" i="58"/>
  <c r="Y188" i="59"/>
  <c r="Y188" i="60"/>
  <c r="Z175" i="58"/>
  <c r="Z157" i="58"/>
  <c r="Y157" i="59"/>
  <c r="Y157" i="60"/>
  <c r="Z114" i="58"/>
  <c r="Y114" i="59"/>
  <c r="Y114" i="60"/>
  <c r="Z119" i="58"/>
  <c r="Y119" i="59"/>
  <c r="Y119" i="60"/>
  <c r="Z104" i="58"/>
  <c r="Z123" i="58"/>
  <c r="Y123" i="59"/>
  <c r="Y123" i="60"/>
  <c r="Z120" i="58"/>
  <c r="Y120" i="59"/>
  <c r="Y120" i="60"/>
  <c r="Z96" i="58"/>
  <c r="Y96" i="59"/>
  <c r="Y96" i="60"/>
  <c r="Z73" i="58"/>
  <c r="Y73" i="59"/>
  <c r="Y73" i="60"/>
  <c r="Z67" i="58"/>
  <c r="Y67" i="59"/>
  <c r="Y67" i="60"/>
  <c r="Z60" i="58"/>
  <c r="Y60" i="59"/>
  <c r="Y60" i="60"/>
  <c r="Z38" i="58"/>
  <c r="Y38" i="59"/>
  <c r="Y38" i="60"/>
  <c r="Z34" i="58"/>
  <c r="Z19" i="58"/>
  <c r="Y19" i="59"/>
  <c r="Y19" i="60"/>
  <c r="Z7" i="58"/>
  <c r="Y7" i="59"/>
  <c r="Y7" i="60"/>
  <c r="Z173" i="58"/>
  <c r="Y173" i="59"/>
  <c r="Y173" i="60"/>
  <c r="Z159" i="58"/>
  <c r="Y159" i="59"/>
  <c r="Y159" i="60"/>
  <c r="Z121" i="58"/>
  <c r="Z116" i="58"/>
  <c r="Y116" i="59"/>
  <c r="Y116" i="60"/>
  <c r="Z94" i="58"/>
  <c r="Y94" i="59"/>
  <c r="Y94" i="60"/>
  <c r="Z23" i="58"/>
  <c r="Y23" i="59"/>
  <c r="Y23" i="60"/>
  <c r="Z170" i="58"/>
  <c r="Y170" i="59"/>
  <c r="Y170" i="60"/>
  <c r="Z169" i="58"/>
  <c r="Y169" i="59"/>
  <c r="Y169" i="60"/>
  <c r="Z164" i="58"/>
  <c r="Y164" i="59"/>
  <c r="Y164" i="60"/>
  <c r="Z154" i="58"/>
  <c r="Y154" i="59"/>
  <c r="Y154" i="60"/>
  <c r="Z142" i="58"/>
  <c r="Y142" i="59"/>
  <c r="Y142" i="60"/>
  <c r="Z135" i="58"/>
  <c r="Y135" i="59"/>
  <c r="Y135" i="60"/>
  <c r="Z136" i="58"/>
  <c r="Y136" i="59"/>
  <c r="Y136" i="60"/>
  <c r="Z134" i="58"/>
  <c r="Z110" i="58"/>
  <c r="Y110" i="59"/>
  <c r="Y110" i="60"/>
  <c r="Z76" i="58"/>
  <c r="Y76" i="59"/>
  <c r="Y76" i="60"/>
  <c r="Z64" i="58"/>
  <c r="Y64" i="59"/>
  <c r="Y64" i="60"/>
  <c r="Z74" i="58"/>
  <c r="Y74" i="59"/>
  <c r="Z56" i="58"/>
  <c r="Y56" i="59"/>
  <c r="Y56" i="60"/>
  <c r="Z54" i="58"/>
  <c r="Y54" i="59"/>
  <c r="Y54" i="60"/>
  <c r="Z48" i="58"/>
  <c r="Y48" i="59"/>
  <c r="Y48" i="60"/>
  <c r="Z40" i="58"/>
  <c r="Y40" i="59"/>
  <c r="Y40" i="60"/>
  <c r="Z31" i="58"/>
  <c r="Y31" i="59"/>
  <c r="Y31" i="60"/>
  <c r="Z32" i="58"/>
  <c r="Y32" i="59"/>
  <c r="Y32" i="60"/>
  <c r="Z21" i="58"/>
  <c r="Y21" i="59"/>
  <c r="Y21" i="60"/>
  <c r="Z13" i="58"/>
  <c r="Y13" i="59"/>
  <c r="Y13" i="60"/>
  <c r="Z6" i="58"/>
  <c r="Y6" i="59"/>
  <c r="Y6" i="60"/>
  <c r="Z14" i="58"/>
  <c r="Y14" i="59"/>
  <c r="Y14" i="60"/>
  <c r="Z174" i="58"/>
  <c r="Y174" i="59"/>
  <c r="Y174" i="60"/>
  <c r="Z150" i="58"/>
  <c r="Y150" i="59"/>
  <c r="Y150" i="60"/>
  <c r="Z172" i="58"/>
  <c r="Y172" i="59"/>
  <c r="Y172" i="60"/>
  <c r="Z126" i="58"/>
  <c r="Y126" i="59"/>
  <c r="Y126" i="60"/>
  <c r="Z132" i="58"/>
  <c r="Y132" i="59"/>
  <c r="Y132" i="60"/>
  <c r="Z113" i="58"/>
  <c r="Y113" i="59"/>
  <c r="Y113" i="60"/>
  <c r="Z111" i="58"/>
  <c r="Y111" i="59"/>
  <c r="Y111" i="60"/>
  <c r="Z102" i="58"/>
  <c r="Y102" i="59"/>
  <c r="Z78" i="58"/>
  <c r="Y78" i="59"/>
  <c r="Y78" i="60"/>
  <c r="Z61" i="58"/>
  <c r="Y61" i="59"/>
  <c r="Y61" i="60"/>
  <c r="Z53" i="58"/>
  <c r="Y53" i="59"/>
  <c r="Y53" i="60"/>
  <c r="Z63" i="58"/>
  <c r="Y63" i="59"/>
  <c r="Y63" i="60"/>
  <c r="Z51" i="58"/>
  <c r="Y51" i="59"/>
  <c r="Y51" i="60"/>
  <c r="Z44" i="58"/>
  <c r="Y44" i="59"/>
  <c r="Y44" i="60"/>
  <c r="Z25" i="58"/>
  <c r="Y25" i="59"/>
  <c r="Y25" i="60"/>
  <c r="Z29" i="58"/>
  <c r="Y29" i="59"/>
  <c r="Y29" i="60"/>
  <c r="Z15" i="58"/>
  <c r="Y15" i="59"/>
  <c r="Y15" i="60"/>
  <c r="Z3" i="58"/>
  <c r="Z4" i="58"/>
  <c r="Y4" i="59"/>
  <c r="Y4" i="60"/>
  <c r="Z130" i="58"/>
  <c r="Y130" i="59"/>
  <c r="Y130" i="60"/>
  <c r="Z42" i="58"/>
  <c r="Z181" i="58"/>
  <c r="Z168" i="58"/>
  <c r="Y168" i="59"/>
  <c r="Y168" i="60"/>
  <c r="Z127" i="58"/>
  <c r="Y127" i="59"/>
  <c r="Y127" i="60"/>
  <c r="Z97" i="58"/>
  <c r="Y97" i="59"/>
  <c r="Y97" i="60"/>
  <c r="Z90" i="58"/>
  <c r="Y90" i="59"/>
  <c r="Y90" i="60"/>
  <c r="Z68" i="58"/>
  <c r="Y68" i="59"/>
  <c r="Y68" i="60"/>
  <c r="Z87" i="58"/>
  <c r="Y87" i="59"/>
  <c r="Y87" i="60"/>
  <c r="Z43" i="58"/>
  <c r="Y43" i="59"/>
  <c r="Y43" i="60"/>
  <c r="Z45" i="58"/>
  <c r="Y45" i="59"/>
  <c r="Y45" i="60"/>
  <c r="Z26" i="58"/>
  <c r="Y26" i="59"/>
  <c r="Y26" i="60"/>
  <c r="Z28" i="58"/>
  <c r="Y28" i="59"/>
  <c r="Y28" i="60"/>
  <c r="Z36" i="58"/>
  <c r="Y36" i="59"/>
  <c r="Y36" i="60"/>
  <c r="Z12" i="58"/>
  <c r="Y12" i="59"/>
  <c r="Y12" i="60"/>
  <c r="Z160" i="58"/>
  <c r="Z93" i="58"/>
  <c r="Y93" i="59"/>
  <c r="Y93" i="60"/>
  <c r="Z77" i="58"/>
  <c r="Y77" i="59"/>
  <c r="Y77" i="60"/>
  <c r="Z46" i="58"/>
  <c r="Y46" i="59"/>
  <c r="Y46" i="60"/>
  <c r="Z47" i="58"/>
  <c r="Y47" i="59"/>
  <c r="Y47" i="60"/>
  <c r="Z128" i="58"/>
  <c r="Y128" i="59"/>
  <c r="Y128" i="60"/>
  <c r="Z18" i="58"/>
  <c r="Y18" i="59"/>
  <c r="Y18" i="60"/>
  <c r="Z72" i="58"/>
  <c r="Y72" i="59"/>
  <c r="Y72" i="60"/>
  <c r="Z33" i="58"/>
  <c r="Y33" i="59"/>
  <c r="Y33" i="60"/>
  <c r="Z75" i="58"/>
  <c r="Y75" i="59"/>
  <c r="Y75" i="60"/>
  <c r="Z79" i="58"/>
  <c r="Y79" i="59"/>
  <c r="Z141" i="58"/>
  <c r="Y141" i="59"/>
  <c r="Y141" i="60"/>
  <c r="Z148" i="58"/>
  <c r="Y148" i="59"/>
  <c r="Y148" i="60"/>
  <c r="Z41" i="58"/>
  <c r="Y41" i="59"/>
  <c r="Y41" i="60"/>
  <c r="Z17" i="58"/>
  <c r="Z27" i="58"/>
  <c r="Y27" i="59"/>
  <c r="Y27" i="60"/>
  <c r="Z151" i="58"/>
  <c r="Y151" i="59"/>
  <c r="Y151" i="60"/>
  <c r="Z70" i="58"/>
  <c r="Y70" i="59"/>
  <c r="Y70" i="60"/>
  <c r="Z22" i="58"/>
  <c r="Y22" i="59"/>
  <c r="Y22" i="60"/>
  <c r="Z124" i="58"/>
  <c r="Y124" i="59"/>
  <c r="Y124" i="60"/>
  <c r="Z37" i="58"/>
  <c r="Y37" i="59"/>
  <c r="Y37" i="60"/>
  <c r="Z145" i="58"/>
  <c r="Y145" i="59"/>
  <c r="Y145" i="60"/>
  <c r="Z129" i="58"/>
  <c r="Z81" i="58"/>
  <c r="Y81" i="59"/>
  <c r="Y81" i="60"/>
  <c r="Z103" i="58"/>
  <c r="Y103" i="59"/>
  <c r="Y103" i="60"/>
  <c r="W134" i="60"/>
  <c r="O41" i="56"/>
  <c r="N7" i="55"/>
  <c r="N23" i="56"/>
  <c r="W186" i="60"/>
  <c r="O32" i="56"/>
  <c r="Z221" i="58"/>
  <c r="AA218" i="58"/>
  <c r="W175" i="60"/>
  <c r="O42" i="56"/>
  <c r="X79" i="60"/>
  <c r="X178" i="59"/>
  <c r="X178" i="60"/>
  <c r="X364" i="59"/>
  <c r="X66" i="59"/>
  <c r="P12" i="56"/>
  <c r="X10" i="59"/>
  <c r="P8" i="56"/>
  <c r="X181" i="59"/>
  <c r="X181" i="60"/>
  <c r="X367" i="59"/>
  <c r="X165" i="59"/>
  <c r="P5" i="56"/>
  <c r="X161" i="60"/>
  <c r="N25" i="56"/>
  <c r="W42" i="60"/>
  <c r="O37" i="56"/>
  <c r="X34" i="59"/>
  <c r="X34" i="60"/>
  <c r="D19" i="62"/>
  <c r="X176" i="59"/>
  <c r="X176" i="60"/>
  <c r="X362" i="59"/>
  <c r="O3" i="55"/>
  <c r="X198" i="58"/>
  <c r="X205" i="58"/>
  <c r="T26" i="55"/>
  <c r="T27" i="55"/>
  <c r="L49" i="56"/>
  <c r="W104" i="60"/>
  <c r="O4" i="55"/>
  <c r="O19" i="56"/>
  <c r="V194" i="60"/>
  <c r="W17" i="60"/>
  <c r="O35" i="56"/>
  <c r="O18" i="56"/>
  <c r="U121" i="60"/>
  <c r="V121" i="59"/>
  <c r="X17" i="59"/>
  <c r="P9" i="56"/>
  <c r="X177" i="59"/>
  <c r="X177" i="60"/>
  <c r="X363" i="59"/>
  <c r="X92" i="59"/>
  <c r="X92" i="60"/>
  <c r="X184" i="59"/>
  <c r="X184" i="60"/>
  <c r="X370" i="59"/>
  <c r="X182" i="59"/>
  <c r="X182" i="60"/>
  <c r="X368" i="59"/>
  <c r="X179" i="59"/>
  <c r="X179" i="60"/>
  <c r="X365" i="59"/>
  <c r="P5" i="55"/>
  <c r="P20" i="56"/>
  <c r="Y209" i="58"/>
  <c r="Y210" i="58"/>
  <c r="Y211" i="58"/>
  <c r="X160" i="59"/>
  <c r="X160" i="60"/>
  <c r="X74" i="60"/>
  <c r="X20" i="60"/>
  <c r="U109" i="60"/>
  <c r="M40" i="56"/>
  <c r="V109" i="59"/>
  <c r="X180" i="59"/>
  <c r="X180" i="60"/>
  <c r="X366" i="59"/>
  <c r="T196" i="59"/>
  <c r="L21" i="55"/>
  <c r="X214" i="58"/>
  <c r="O6" i="55"/>
  <c r="O22" i="55"/>
  <c r="O21" i="56"/>
  <c r="W165" i="60"/>
  <c r="O31" i="56"/>
  <c r="W84" i="60"/>
  <c r="O39" i="56"/>
  <c r="X186" i="59"/>
  <c r="P6" i="56"/>
  <c r="X104" i="59"/>
  <c r="P14" i="56"/>
  <c r="X98" i="60"/>
  <c r="X102" i="60"/>
  <c r="X171" i="59"/>
  <c r="P7" i="56"/>
  <c r="W10" i="60"/>
  <c r="O34" i="56"/>
  <c r="T5" i="60"/>
  <c r="T193" i="60"/>
  <c r="T195" i="60"/>
  <c r="U5" i="59"/>
  <c r="M9" i="55"/>
  <c r="O23" i="56"/>
  <c r="Y160" i="59"/>
  <c r="Y160" i="60"/>
  <c r="Y79" i="60"/>
  <c r="AA221" i="58"/>
  <c r="AB218" i="58"/>
  <c r="K16" i="55"/>
  <c r="L11" i="55"/>
  <c r="L13" i="55"/>
  <c r="M10" i="55"/>
  <c r="K15" i="55"/>
  <c r="K14" i="55"/>
  <c r="L10" i="55"/>
  <c r="L18" i="55"/>
  <c r="L19" i="55"/>
  <c r="T196" i="60"/>
  <c r="L23" i="55"/>
  <c r="Q28" i="55"/>
  <c r="X17" i="60"/>
  <c r="P35" i="56"/>
  <c r="X165" i="60"/>
  <c r="P31" i="56"/>
  <c r="X66" i="60"/>
  <c r="P38" i="56"/>
  <c r="Y17" i="59"/>
  <c r="Q9" i="56"/>
  <c r="Y84" i="59"/>
  <c r="Q13" i="56"/>
  <c r="Q5" i="55"/>
  <c r="Q20" i="56"/>
  <c r="Z209" i="58"/>
  <c r="Z210" i="58"/>
  <c r="Z211" i="58"/>
  <c r="Y166" i="59"/>
  <c r="Y166" i="60"/>
  <c r="Y203" i="58"/>
  <c r="P3" i="55"/>
  <c r="Y198" i="58"/>
  <c r="Y205" i="58"/>
  <c r="U26" i="55"/>
  <c r="U27" i="55"/>
  <c r="X134" i="60"/>
  <c r="P41" i="56"/>
  <c r="U5" i="60"/>
  <c r="V5" i="59"/>
  <c r="X104" i="60"/>
  <c r="T197" i="59"/>
  <c r="T198" i="59"/>
  <c r="Z193" i="58"/>
  <c r="Z196" i="58"/>
  <c r="Z199" i="58"/>
  <c r="Z200" i="58"/>
  <c r="Z202" i="58"/>
  <c r="Z194" i="58"/>
  <c r="Z201" i="58"/>
  <c r="Q4" i="56"/>
  <c r="Q10" i="56"/>
  <c r="Z207" i="58"/>
  <c r="Y34" i="59"/>
  <c r="Y34" i="60"/>
  <c r="Y175" i="59"/>
  <c r="Q16" i="56"/>
  <c r="Y186" i="59"/>
  <c r="Q6" i="56"/>
  <c r="Y161" i="60"/>
  <c r="Y98" i="60"/>
  <c r="X42" i="60"/>
  <c r="P37" i="56"/>
  <c r="M36" i="56"/>
  <c r="M44" i="56"/>
  <c r="M47" i="56"/>
  <c r="Y178" i="59"/>
  <c r="Y178" i="60"/>
  <c r="Y364" i="59"/>
  <c r="Y179" i="59"/>
  <c r="Y179" i="60"/>
  <c r="Y365" i="59"/>
  <c r="Y10" i="59"/>
  <c r="Q8" i="56"/>
  <c r="X84" i="60"/>
  <c r="P39" i="56"/>
  <c r="P4" i="55"/>
  <c r="P19" i="56"/>
  <c r="W194" i="60"/>
  <c r="Q8" i="55"/>
  <c r="M30" i="56"/>
  <c r="M49" i="56"/>
  <c r="X171" i="60"/>
  <c r="P33" i="56"/>
  <c r="X186" i="60"/>
  <c r="P32" i="56"/>
  <c r="O25" i="56"/>
  <c r="Y181" i="59"/>
  <c r="Y181" i="60"/>
  <c r="Y367" i="59"/>
  <c r="Y134" i="59"/>
  <c r="Q15" i="56"/>
  <c r="Y104" i="59"/>
  <c r="Q14" i="56"/>
  <c r="Y177" i="59"/>
  <c r="Y177" i="60"/>
  <c r="Y363" i="59"/>
  <c r="Y66" i="59"/>
  <c r="Q12" i="56"/>
  <c r="Y184" i="59"/>
  <c r="Y184" i="60"/>
  <c r="Y370" i="59"/>
  <c r="Y176" i="59"/>
  <c r="Y176" i="60"/>
  <c r="Y362" i="59"/>
  <c r="V129" i="60"/>
  <c r="W129" i="59"/>
  <c r="S198" i="59"/>
  <c r="S197" i="59"/>
  <c r="U193" i="59"/>
  <c r="O7" i="55"/>
  <c r="Y183" i="59"/>
  <c r="Y183" i="60"/>
  <c r="Y369" i="59"/>
  <c r="V109" i="60"/>
  <c r="W109" i="59"/>
  <c r="N40" i="56"/>
  <c r="X10" i="60"/>
  <c r="P34" i="56"/>
  <c r="Y42" i="59"/>
  <c r="Q11" i="56"/>
  <c r="Y180" i="59"/>
  <c r="Y180" i="60"/>
  <c r="Y366" i="59"/>
  <c r="Y171" i="59"/>
  <c r="Q7" i="56"/>
  <c r="AB1" i="58"/>
  <c r="AA4" i="58"/>
  <c r="Z4" i="59"/>
  <c r="Z4" i="60"/>
  <c r="Z1" i="59"/>
  <c r="AA11" i="58"/>
  <c r="Z11" i="59"/>
  <c r="Z11" i="60"/>
  <c r="AA14" i="58"/>
  <c r="Z14" i="59"/>
  <c r="Z14" i="60"/>
  <c r="AA29" i="58"/>
  <c r="Z29" i="59"/>
  <c r="Z29" i="60"/>
  <c r="AA32" i="58"/>
  <c r="Z32" i="59"/>
  <c r="Z32" i="60"/>
  <c r="AA19" i="58"/>
  <c r="Z19" i="59"/>
  <c r="Z19" i="60"/>
  <c r="AA28" i="58"/>
  <c r="Z28" i="59"/>
  <c r="Z28" i="60"/>
  <c r="AA23" i="58"/>
  <c r="Z23" i="59"/>
  <c r="Z23" i="60"/>
  <c r="AA31" i="58"/>
  <c r="Z31" i="59"/>
  <c r="Z31" i="60"/>
  <c r="AA35" i="58"/>
  <c r="Z35" i="59"/>
  <c r="Z35" i="60"/>
  <c r="AA36" i="58"/>
  <c r="Z36" i="59"/>
  <c r="Z36" i="60"/>
  <c r="AA34" i="58"/>
  <c r="AA57" i="58"/>
  <c r="Z57" i="59"/>
  <c r="Z57" i="60"/>
  <c r="AA48" i="58"/>
  <c r="Z48" i="59"/>
  <c r="Z48" i="60"/>
  <c r="AA74" i="58"/>
  <c r="Z74" i="59"/>
  <c r="AA77" i="58"/>
  <c r="Z77" i="59"/>
  <c r="Z77" i="60"/>
  <c r="AA80" i="58"/>
  <c r="Z80" i="59"/>
  <c r="Z80" i="60"/>
  <c r="AA93" i="58"/>
  <c r="Z93" i="59"/>
  <c r="Z93" i="60"/>
  <c r="AA87" i="58"/>
  <c r="Z87" i="59"/>
  <c r="Z87" i="60"/>
  <c r="AA90" i="58"/>
  <c r="Z90" i="59"/>
  <c r="Z90" i="60"/>
  <c r="AA123" i="58"/>
  <c r="Z123" i="59"/>
  <c r="Z123" i="60"/>
  <c r="AA96" i="58"/>
  <c r="Z96" i="59"/>
  <c r="Z96" i="60"/>
  <c r="AA122" i="58"/>
  <c r="Z122" i="59"/>
  <c r="Z122" i="60"/>
  <c r="AA135" i="58"/>
  <c r="Z135" i="59"/>
  <c r="Z135" i="60"/>
  <c r="AA142" i="58"/>
  <c r="Z142" i="59"/>
  <c r="Z142" i="60"/>
  <c r="AA99" i="58"/>
  <c r="Z99" i="59"/>
  <c r="Z99" i="60"/>
  <c r="AA102" i="58"/>
  <c r="Z102" i="59"/>
  <c r="AA120" i="58"/>
  <c r="Z120" i="59"/>
  <c r="Z120" i="60"/>
  <c r="AA132" i="58"/>
  <c r="Z132" i="59"/>
  <c r="Z132" i="60"/>
  <c r="AA168" i="58"/>
  <c r="Z168" i="59"/>
  <c r="Z168" i="60"/>
  <c r="AA159" i="58"/>
  <c r="Z159" i="59"/>
  <c r="Z159" i="60"/>
  <c r="AA162" i="58"/>
  <c r="Z162" i="59"/>
  <c r="Z162" i="60"/>
  <c r="AA183" i="58"/>
  <c r="AA195" i="58"/>
  <c r="AA177" i="58"/>
  <c r="AA228" i="58"/>
  <c r="Z1" i="60"/>
  <c r="AA229" i="58"/>
  <c r="AA226" i="58"/>
  <c r="AA184" i="58"/>
  <c r="AA174" i="58"/>
  <c r="Z174" i="59"/>
  <c r="Z174" i="60"/>
  <c r="AA178" i="58"/>
  <c r="AA169" i="58"/>
  <c r="Z169" i="59"/>
  <c r="Z169" i="60"/>
  <c r="AA147" i="58"/>
  <c r="Z147" i="59"/>
  <c r="Z147" i="60"/>
  <c r="AA113" i="58"/>
  <c r="Z113" i="59"/>
  <c r="Z113" i="60"/>
  <c r="AA140" i="58"/>
  <c r="Z140" i="59"/>
  <c r="Z140" i="60"/>
  <c r="AA137" i="58"/>
  <c r="Z137" i="59"/>
  <c r="Z137" i="60"/>
  <c r="AA131" i="58"/>
  <c r="Z131" i="59"/>
  <c r="Z131" i="60"/>
  <c r="AA143" i="58"/>
  <c r="Z143" i="59"/>
  <c r="Z143" i="60"/>
  <c r="AA114" i="58"/>
  <c r="Z114" i="59"/>
  <c r="Z114" i="60"/>
  <c r="AA134" i="58"/>
  <c r="AA110" i="58"/>
  <c r="Z110" i="59"/>
  <c r="Z110" i="60"/>
  <c r="AA108" i="58"/>
  <c r="Z108" i="59"/>
  <c r="Z108" i="60"/>
  <c r="AA107" i="58"/>
  <c r="Z107" i="59"/>
  <c r="Z107" i="60"/>
  <c r="AA111" i="58"/>
  <c r="Z111" i="59"/>
  <c r="Z111" i="60"/>
  <c r="AA105" i="58"/>
  <c r="Z105" i="59"/>
  <c r="Z105" i="60"/>
  <c r="AA83" i="58"/>
  <c r="Z83" i="59"/>
  <c r="Z83" i="60"/>
  <c r="AA58" i="58"/>
  <c r="Z58" i="59"/>
  <c r="Z58" i="60"/>
  <c r="AA43" i="58"/>
  <c r="Z43" i="59"/>
  <c r="Z43" i="60"/>
  <c r="AA44" i="58"/>
  <c r="Z44" i="59"/>
  <c r="Z44" i="60"/>
  <c r="AA188" i="58"/>
  <c r="Z188" i="59"/>
  <c r="Z188" i="60"/>
  <c r="AA186" i="58"/>
  <c r="AA185" i="58"/>
  <c r="Z185" i="59"/>
  <c r="Z185" i="60"/>
  <c r="AA163" i="58"/>
  <c r="Z163" i="59"/>
  <c r="Z163" i="60"/>
  <c r="AA164" i="58"/>
  <c r="Z164" i="59"/>
  <c r="Z164" i="60"/>
  <c r="AA127" i="58"/>
  <c r="Z127" i="59"/>
  <c r="Z127" i="60"/>
  <c r="AA125" i="58"/>
  <c r="Z125" i="59"/>
  <c r="Z125" i="60"/>
  <c r="AA139" i="58"/>
  <c r="Z139" i="59"/>
  <c r="Z139" i="60"/>
  <c r="AA133" i="58"/>
  <c r="Z133" i="59"/>
  <c r="Z133" i="60"/>
  <c r="AA144" i="58"/>
  <c r="Z144" i="59"/>
  <c r="Z144" i="60"/>
  <c r="AA100" i="58"/>
  <c r="Z100" i="59"/>
  <c r="Z100" i="60"/>
  <c r="AA128" i="58"/>
  <c r="Z128" i="59"/>
  <c r="Z128" i="60"/>
  <c r="AA121" i="58"/>
  <c r="AA91" i="58"/>
  <c r="Z91" i="59"/>
  <c r="Z91" i="60"/>
  <c r="AA89" i="58"/>
  <c r="Z89" i="59"/>
  <c r="Z89" i="60"/>
  <c r="AA98" i="58"/>
  <c r="Z98" i="59"/>
  <c r="AA88" i="58"/>
  <c r="Z88" i="59"/>
  <c r="Z88" i="60"/>
  <c r="AA71" i="58"/>
  <c r="Z71" i="59"/>
  <c r="Z71" i="60"/>
  <c r="AA173" i="58"/>
  <c r="Z173" i="59"/>
  <c r="Z173" i="60"/>
  <c r="AA170" i="58"/>
  <c r="Z170" i="59"/>
  <c r="Z170" i="60"/>
  <c r="AA189" i="58"/>
  <c r="Z189" i="59"/>
  <c r="Z189" i="60"/>
  <c r="AA167" i="58"/>
  <c r="Z167" i="59"/>
  <c r="Z167" i="60"/>
  <c r="AA158" i="58"/>
  <c r="Z158" i="59"/>
  <c r="Z158" i="60"/>
  <c r="AA161" i="58"/>
  <c r="Z161" i="59"/>
  <c r="Z161" i="60"/>
  <c r="AA146" i="58"/>
  <c r="Z146" i="59"/>
  <c r="Z146" i="60"/>
  <c r="AA130" i="58"/>
  <c r="Z130" i="59"/>
  <c r="Z130" i="60"/>
  <c r="AA104" i="58"/>
  <c r="AA115" i="58"/>
  <c r="Z115" i="59"/>
  <c r="Z115" i="60"/>
  <c r="AA153" i="58"/>
  <c r="Z153" i="59"/>
  <c r="Z153" i="60"/>
  <c r="AA171" i="58"/>
  <c r="AA155" i="58"/>
  <c r="Z155" i="59"/>
  <c r="Z155" i="60"/>
  <c r="AA180" i="58"/>
  <c r="AA117" i="58"/>
  <c r="Z117" i="59"/>
  <c r="Z117" i="60"/>
  <c r="AA166" i="58"/>
  <c r="AA160" i="58"/>
  <c r="Z160" i="59"/>
  <c r="Z160" i="60"/>
  <c r="AA136" i="58"/>
  <c r="Z136" i="59"/>
  <c r="Z136" i="60"/>
  <c r="AA73" i="58"/>
  <c r="Z73" i="59"/>
  <c r="Z73" i="60"/>
  <c r="AA109" i="58"/>
  <c r="AA64" i="58"/>
  <c r="Z64" i="59"/>
  <c r="Z64" i="60"/>
  <c r="AA56" i="58"/>
  <c r="Z56" i="59"/>
  <c r="Z56" i="60"/>
  <c r="AA52" i="58"/>
  <c r="Z52" i="59"/>
  <c r="Z52" i="60"/>
  <c r="AA40" i="58"/>
  <c r="Z40" i="59"/>
  <c r="Z40" i="60"/>
  <c r="AA15" i="58"/>
  <c r="Z15" i="59"/>
  <c r="Z15" i="60"/>
  <c r="AA13" i="58"/>
  <c r="Z13" i="59"/>
  <c r="Z13" i="60"/>
  <c r="AA9" i="58"/>
  <c r="Z9" i="59"/>
  <c r="Z9" i="60"/>
  <c r="AA179" i="58"/>
  <c r="AA69" i="58"/>
  <c r="Z69" i="59"/>
  <c r="Z69" i="60"/>
  <c r="AA16" i="58"/>
  <c r="Z16" i="59"/>
  <c r="Z16" i="60"/>
  <c r="AA190" i="58"/>
  <c r="Z190" i="59"/>
  <c r="Z190" i="60"/>
  <c r="AA182" i="58"/>
  <c r="AA175" i="58"/>
  <c r="AA154" i="58"/>
  <c r="Z154" i="59"/>
  <c r="Z154" i="60"/>
  <c r="AA157" i="58"/>
  <c r="Z157" i="59"/>
  <c r="Z157" i="60"/>
  <c r="AA149" i="58"/>
  <c r="Z149" i="59"/>
  <c r="Z149" i="60"/>
  <c r="AA97" i="58"/>
  <c r="Z97" i="59"/>
  <c r="Z97" i="60"/>
  <c r="AA76" i="58"/>
  <c r="Z76" i="59"/>
  <c r="Z76" i="60"/>
  <c r="AA106" i="58"/>
  <c r="Z106" i="59"/>
  <c r="Z106" i="60"/>
  <c r="AA95" i="58"/>
  <c r="Z95" i="59"/>
  <c r="Z95" i="60"/>
  <c r="AA92" i="58"/>
  <c r="AA94" i="58"/>
  <c r="Z94" i="59"/>
  <c r="Z94" i="60"/>
  <c r="AA78" i="58"/>
  <c r="Z78" i="59"/>
  <c r="Z78" i="60"/>
  <c r="AA59" i="58"/>
  <c r="Z59" i="59"/>
  <c r="Z59" i="60"/>
  <c r="AA61" i="58"/>
  <c r="Z61" i="59"/>
  <c r="Z61" i="60"/>
  <c r="AA67" i="58"/>
  <c r="Z67" i="59"/>
  <c r="Z67" i="60"/>
  <c r="AA50" i="58"/>
  <c r="Z50" i="59"/>
  <c r="Z50" i="60"/>
  <c r="AA54" i="58"/>
  <c r="Z54" i="59"/>
  <c r="Z54" i="60"/>
  <c r="AA46" i="58"/>
  <c r="Z46" i="59"/>
  <c r="Z46" i="60"/>
  <c r="AA45" i="58"/>
  <c r="Z45" i="59"/>
  <c r="Z45" i="60"/>
  <c r="AA26" i="58"/>
  <c r="Z26" i="59"/>
  <c r="Z26" i="60"/>
  <c r="AA30" i="58"/>
  <c r="Z30" i="59"/>
  <c r="Z30" i="60"/>
  <c r="AA20" i="58"/>
  <c r="Z20" i="59"/>
  <c r="AA47" i="58"/>
  <c r="Z47" i="59"/>
  <c r="Z47" i="60"/>
  <c r="AA152" i="58"/>
  <c r="Z152" i="59"/>
  <c r="Z152" i="60"/>
  <c r="AA187" i="58"/>
  <c r="Z187" i="59"/>
  <c r="Z187" i="60"/>
  <c r="AA156" i="58"/>
  <c r="Z156" i="59"/>
  <c r="Z156" i="60"/>
  <c r="AA138" i="58"/>
  <c r="Z138" i="59"/>
  <c r="Z138" i="60"/>
  <c r="AA112" i="58"/>
  <c r="Z112" i="59"/>
  <c r="Z112" i="60"/>
  <c r="AA85" i="58"/>
  <c r="Z85" i="59"/>
  <c r="Z85" i="60"/>
  <c r="AA53" i="58"/>
  <c r="Z53" i="59"/>
  <c r="Z53" i="60"/>
  <c r="AA60" i="58"/>
  <c r="Z60" i="59"/>
  <c r="Z60" i="60"/>
  <c r="AA55" i="58"/>
  <c r="Z55" i="59"/>
  <c r="Z55" i="60"/>
  <c r="AA24" i="58"/>
  <c r="Z24" i="59"/>
  <c r="Z24" i="60"/>
  <c r="AA21" i="58"/>
  <c r="Z21" i="59"/>
  <c r="Z21" i="60"/>
  <c r="AA25" i="58"/>
  <c r="Z25" i="59"/>
  <c r="Z25" i="60"/>
  <c r="AA165" i="58"/>
  <c r="AA181" i="58"/>
  <c r="AA126" i="58"/>
  <c r="Z126" i="59"/>
  <c r="Z126" i="60"/>
  <c r="AA116" i="58"/>
  <c r="Z116" i="59"/>
  <c r="Z116" i="60"/>
  <c r="AA101" i="58"/>
  <c r="Z101" i="59"/>
  <c r="Z101" i="60"/>
  <c r="AA86" i="58"/>
  <c r="Z86" i="59"/>
  <c r="Z86" i="60"/>
  <c r="AA82" i="58"/>
  <c r="Z82" i="59"/>
  <c r="Z82" i="60"/>
  <c r="AA68" i="58"/>
  <c r="Z68" i="59"/>
  <c r="Z68" i="60"/>
  <c r="AA63" i="58"/>
  <c r="Z63" i="59"/>
  <c r="Z63" i="60"/>
  <c r="AA49" i="58"/>
  <c r="Z49" i="59"/>
  <c r="Z49" i="60"/>
  <c r="AA6" i="58"/>
  <c r="Z6" i="59"/>
  <c r="Z6" i="60"/>
  <c r="AA10" i="58"/>
  <c r="AA3" i="58"/>
  <c r="AA5" i="58"/>
  <c r="AA12" i="58"/>
  <c r="Z12" i="59"/>
  <c r="Z12" i="60"/>
  <c r="AA8" i="58"/>
  <c r="Z8" i="59"/>
  <c r="Z8" i="60"/>
  <c r="AA150" i="58"/>
  <c r="Z150" i="59"/>
  <c r="Z150" i="60"/>
  <c r="AA191" i="58"/>
  <c r="Z191" i="59"/>
  <c r="Z191" i="60"/>
  <c r="AA176" i="58"/>
  <c r="AA172" i="58"/>
  <c r="Z172" i="59"/>
  <c r="Z172" i="60"/>
  <c r="AA84" i="58"/>
  <c r="AA118" i="58"/>
  <c r="Z118" i="59"/>
  <c r="Z118" i="60"/>
  <c r="AA119" i="58"/>
  <c r="Z119" i="59"/>
  <c r="Z119" i="60"/>
  <c r="AA66" i="58"/>
  <c r="AA62" i="58"/>
  <c r="Z62" i="59"/>
  <c r="Z62" i="60"/>
  <c r="AA65" i="58"/>
  <c r="Z65" i="59"/>
  <c r="Z65" i="60"/>
  <c r="AA51" i="58"/>
  <c r="Z51" i="59"/>
  <c r="Z51" i="60"/>
  <c r="AA42" i="58"/>
  <c r="AA38" i="58"/>
  <c r="Z38" i="59"/>
  <c r="Z38" i="60"/>
  <c r="AA39" i="58"/>
  <c r="Z39" i="59"/>
  <c r="Z39" i="60"/>
  <c r="AA7" i="58"/>
  <c r="Z7" i="59"/>
  <c r="Z7" i="60"/>
  <c r="AA22" i="58"/>
  <c r="Z22" i="59"/>
  <c r="Z22" i="60"/>
  <c r="AA33" i="58"/>
  <c r="Z33" i="59"/>
  <c r="Z33" i="60"/>
  <c r="AA72" i="58"/>
  <c r="Z72" i="59"/>
  <c r="Z72" i="60"/>
  <c r="AA129" i="58"/>
  <c r="AA41" i="58"/>
  <c r="Z41" i="59"/>
  <c r="Z41" i="60"/>
  <c r="AA81" i="58"/>
  <c r="Z81" i="59"/>
  <c r="Z81" i="60"/>
  <c r="AA124" i="58"/>
  <c r="Z124" i="59"/>
  <c r="Z124" i="60"/>
  <c r="AA37" i="58"/>
  <c r="Z37" i="59"/>
  <c r="Z37" i="60"/>
  <c r="AA75" i="58"/>
  <c r="Z75" i="59"/>
  <c r="Z75" i="60"/>
  <c r="AA141" i="58"/>
  <c r="Z141" i="59"/>
  <c r="Z141" i="60"/>
  <c r="AA18" i="58"/>
  <c r="Z18" i="59"/>
  <c r="Z18" i="60"/>
  <c r="AA151" i="58"/>
  <c r="Z151" i="59"/>
  <c r="Z151" i="60"/>
  <c r="AA70" i="58"/>
  <c r="Z70" i="59"/>
  <c r="Z70" i="60"/>
  <c r="AA17" i="58"/>
  <c r="AA148" i="58"/>
  <c r="Z148" i="59"/>
  <c r="Z148" i="60"/>
  <c r="AA27" i="58"/>
  <c r="Z27" i="59"/>
  <c r="Z27" i="60"/>
  <c r="AA79" i="58"/>
  <c r="Z79" i="59"/>
  <c r="Z79" i="60"/>
  <c r="AA145" i="58"/>
  <c r="Z145" i="59"/>
  <c r="Z145" i="60"/>
  <c r="AA103" i="58"/>
  <c r="Z103" i="59"/>
  <c r="Z103" i="60"/>
  <c r="X175" i="60"/>
  <c r="P42" i="56"/>
  <c r="K23" i="55"/>
  <c r="P28" i="55"/>
  <c r="U193" i="60"/>
  <c r="U195" i="60"/>
  <c r="W216" i="58"/>
  <c r="X213" i="58"/>
  <c r="V121" i="60"/>
  <c r="W121" i="59"/>
  <c r="E19" i="62"/>
  <c r="G19" i="62"/>
  <c r="P18" i="56"/>
  <c r="N9" i="55"/>
  <c r="Y102" i="60"/>
  <c r="Y74" i="60"/>
  <c r="Y165" i="59"/>
  <c r="Q5" i="56"/>
  <c r="Y182" i="59"/>
  <c r="Y182" i="60"/>
  <c r="Y368" i="59"/>
  <c r="Y92" i="59"/>
  <c r="Y92" i="60"/>
  <c r="Y20" i="60"/>
  <c r="Y214" i="58"/>
  <c r="P6" i="55"/>
  <c r="P22" i="55"/>
  <c r="P21" i="56"/>
  <c r="V193" i="59"/>
  <c r="V3" i="60"/>
  <c r="N30" i="56"/>
  <c r="N36" i="56"/>
  <c r="W3" i="59"/>
  <c r="T372" i="59"/>
  <c r="T375" i="59"/>
  <c r="T377" i="59"/>
  <c r="Z92" i="59"/>
  <c r="Z92" i="60"/>
  <c r="X216" i="58"/>
  <c r="Y213" i="58"/>
  <c r="M18" i="55"/>
  <c r="M19" i="55"/>
  <c r="U196" i="60"/>
  <c r="Z165" i="59"/>
  <c r="R5" i="56"/>
  <c r="W121" i="60"/>
  <c r="X121" i="59"/>
  <c r="Q18" i="56"/>
  <c r="Q25" i="56"/>
  <c r="Z17" i="59"/>
  <c r="R9" i="56"/>
  <c r="Z84" i="59"/>
  <c r="R13" i="56"/>
  <c r="Z175" i="59"/>
  <c r="R16" i="56"/>
  <c r="Z104" i="59"/>
  <c r="R14" i="56"/>
  <c r="Z134" i="59"/>
  <c r="R15" i="56"/>
  <c r="Z183" i="59"/>
  <c r="Z183" i="60"/>
  <c r="Z369" i="59"/>
  <c r="Z102" i="60"/>
  <c r="Z74" i="60"/>
  <c r="Y171" i="60"/>
  <c r="Q33" i="56"/>
  <c r="Y104" i="60"/>
  <c r="R8" i="55"/>
  <c r="Y10" i="60"/>
  <c r="Q34" i="56"/>
  <c r="Q3" i="55"/>
  <c r="Z198" i="58"/>
  <c r="Z205" i="58"/>
  <c r="V26" i="55"/>
  <c r="V27" i="55"/>
  <c r="P7" i="55"/>
  <c r="AA196" i="58"/>
  <c r="AA201" i="58"/>
  <c r="AA199" i="58"/>
  <c r="AA194" i="58"/>
  <c r="AA200" i="58"/>
  <c r="AA193" i="58"/>
  <c r="AA202" i="58"/>
  <c r="AA207" i="58"/>
  <c r="R10" i="56"/>
  <c r="R4" i="56"/>
  <c r="N44" i="56"/>
  <c r="N47" i="56"/>
  <c r="P23" i="56"/>
  <c r="P25" i="56"/>
  <c r="Y165" i="60"/>
  <c r="Q31" i="56"/>
  <c r="Z181" i="59"/>
  <c r="Z181" i="60"/>
  <c r="Z367" i="59"/>
  <c r="Z182" i="59"/>
  <c r="Z182" i="60"/>
  <c r="Z368" i="59"/>
  <c r="Z180" i="59"/>
  <c r="Z180" i="60"/>
  <c r="Z366" i="59"/>
  <c r="Z186" i="59"/>
  <c r="R6" i="56"/>
  <c r="O9" i="55"/>
  <c r="Y175" i="60"/>
  <c r="Q42" i="56"/>
  <c r="Q4" i="55"/>
  <c r="Q19" i="56"/>
  <c r="X194" i="60"/>
  <c r="V5" i="60"/>
  <c r="V193" i="60"/>
  <c r="V195" i="60"/>
  <c r="W5" i="59"/>
  <c r="W193" i="59"/>
  <c r="Y84" i="60"/>
  <c r="Q39" i="56"/>
  <c r="L15" i="55"/>
  <c r="L14" i="55"/>
  <c r="L16" i="55"/>
  <c r="M11" i="55"/>
  <c r="M13" i="55"/>
  <c r="N21" i="55"/>
  <c r="V196" i="59"/>
  <c r="Z66" i="59"/>
  <c r="R12" i="56"/>
  <c r="Z10" i="59"/>
  <c r="R8" i="56"/>
  <c r="Z171" i="59"/>
  <c r="R7" i="56"/>
  <c r="Z178" i="59"/>
  <c r="Z178" i="60"/>
  <c r="Z364" i="59"/>
  <c r="Z34" i="59"/>
  <c r="Z34" i="60"/>
  <c r="W109" i="60"/>
  <c r="O40" i="56"/>
  <c r="X109" i="59"/>
  <c r="S372" i="59"/>
  <c r="Y17" i="60"/>
  <c r="Q35" i="56"/>
  <c r="Z176" i="59"/>
  <c r="Z176" i="60"/>
  <c r="Z362" i="59"/>
  <c r="M21" i="55"/>
  <c r="U196" i="59"/>
  <c r="Y134" i="60"/>
  <c r="Q41" i="56"/>
  <c r="W3" i="60"/>
  <c r="O36" i="56"/>
  <c r="O44" i="56"/>
  <c r="O47" i="56"/>
  <c r="X3" i="59"/>
  <c r="Z20" i="60"/>
  <c r="Z177" i="59"/>
  <c r="Z177" i="60"/>
  <c r="Z363" i="59"/>
  <c r="AA1" i="59"/>
  <c r="AC1" i="58"/>
  <c r="AB4" i="58"/>
  <c r="AA4" i="59"/>
  <c r="AA4" i="60"/>
  <c r="AB10" i="58"/>
  <c r="AB5" i="58"/>
  <c r="AB20" i="58"/>
  <c r="AA20" i="59"/>
  <c r="AA20" i="60"/>
  <c r="AB29" i="58"/>
  <c r="AA29" i="59"/>
  <c r="AA29" i="60"/>
  <c r="AB36" i="58"/>
  <c r="AA36" i="59"/>
  <c r="AA36" i="60"/>
  <c r="AB32" i="58"/>
  <c r="AA32" i="59"/>
  <c r="AA32" i="60"/>
  <c r="AB48" i="58"/>
  <c r="AA48" i="59"/>
  <c r="AA48" i="60"/>
  <c r="AB49" i="58"/>
  <c r="AA49" i="59"/>
  <c r="AA49" i="60"/>
  <c r="AB74" i="58"/>
  <c r="AA74" i="59"/>
  <c r="AB88" i="58"/>
  <c r="AA88" i="59"/>
  <c r="AA88" i="60"/>
  <c r="AB109" i="58"/>
  <c r="AB121" i="58"/>
  <c r="AB123" i="58"/>
  <c r="AA123" i="59"/>
  <c r="AA123" i="60"/>
  <c r="AB128" i="58"/>
  <c r="AA128" i="59"/>
  <c r="AA128" i="60"/>
  <c r="AB130" i="58"/>
  <c r="AA130" i="59"/>
  <c r="AA130" i="60"/>
  <c r="AB136" i="58"/>
  <c r="AA136" i="59"/>
  <c r="AA136" i="60"/>
  <c r="AB143" i="58"/>
  <c r="AA143" i="59"/>
  <c r="AA143" i="60"/>
  <c r="AB157" i="58"/>
  <c r="AA157" i="59"/>
  <c r="AA157" i="60"/>
  <c r="AB154" i="58"/>
  <c r="AA154" i="59"/>
  <c r="AA154" i="60"/>
  <c r="AB127" i="58"/>
  <c r="AA127" i="59"/>
  <c r="AA127" i="60"/>
  <c r="AB163" i="58"/>
  <c r="AA163" i="59"/>
  <c r="AA163" i="60"/>
  <c r="AB160" i="58"/>
  <c r="AA160" i="59"/>
  <c r="AA160" i="60"/>
  <c r="AB166" i="58"/>
  <c r="AB185" i="58"/>
  <c r="AA185" i="59"/>
  <c r="AA185" i="60"/>
  <c r="AB195" i="58"/>
  <c r="AB186" i="58"/>
  <c r="AB229" i="58"/>
  <c r="AB226" i="58"/>
  <c r="AB228" i="58"/>
  <c r="AA1" i="60"/>
  <c r="AB165" i="58"/>
  <c r="AB191" i="58"/>
  <c r="AA191" i="59"/>
  <c r="AA191" i="60"/>
  <c r="AB182" i="58"/>
  <c r="AB172" i="58"/>
  <c r="AA172" i="59"/>
  <c r="AA172" i="60"/>
  <c r="AB168" i="58"/>
  <c r="AA168" i="59"/>
  <c r="AA168" i="60"/>
  <c r="AB138" i="58"/>
  <c r="AA138" i="59"/>
  <c r="AA138" i="60"/>
  <c r="AB125" i="58"/>
  <c r="AA125" i="59"/>
  <c r="AA125" i="60"/>
  <c r="AB84" i="58"/>
  <c r="AB118" i="58"/>
  <c r="AA118" i="59"/>
  <c r="AA118" i="60"/>
  <c r="AB110" i="58"/>
  <c r="AA110" i="59"/>
  <c r="AA110" i="60"/>
  <c r="AB76" i="58"/>
  <c r="AA76" i="59"/>
  <c r="AA76" i="60"/>
  <c r="AB95" i="58"/>
  <c r="AA95" i="59"/>
  <c r="AA95" i="60"/>
  <c r="AB64" i="58"/>
  <c r="AA64" i="59"/>
  <c r="AA64" i="60"/>
  <c r="AB60" i="58"/>
  <c r="AA60" i="59"/>
  <c r="AA60" i="60"/>
  <c r="AB52" i="58"/>
  <c r="AA52" i="59"/>
  <c r="AA52" i="60"/>
  <c r="AB54" i="58"/>
  <c r="AA54" i="59"/>
  <c r="AA54" i="60"/>
  <c r="AB38" i="58"/>
  <c r="AA38" i="59"/>
  <c r="AA38" i="60"/>
  <c r="AB25" i="58"/>
  <c r="AA25" i="59"/>
  <c r="AA25" i="60"/>
  <c r="AB184" i="58"/>
  <c r="AB178" i="58"/>
  <c r="AB174" i="58"/>
  <c r="AA174" i="59"/>
  <c r="AA174" i="60"/>
  <c r="AB158" i="58"/>
  <c r="AA158" i="59"/>
  <c r="AA158" i="60"/>
  <c r="AB161" i="58"/>
  <c r="AA161" i="59"/>
  <c r="AA161" i="60"/>
  <c r="AB159" i="58"/>
  <c r="AA159" i="59"/>
  <c r="AA159" i="60"/>
  <c r="AB105" i="58"/>
  <c r="AA105" i="59"/>
  <c r="AA105" i="60"/>
  <c r="AB144" i="58"/>
  <c r="AA144" i="59"/>
  <c r="AA144" i="60"/>
  <c r="AB122" i="58"/>
  <c r="AA122" i="59"/>
  <c r="AA122" i="60"/>
  <c r="AB108" i="58"/>
  <c r="AA108" i="59"/>
  <c r="AA108" i="60"/>
  <c r="AB119" i="58"/>
  <c r="AA119" i="59"/>
  <c r="AA119" i="60"/>
  <c r="AB97" i="58"/>
  <c r="AA97" i="59"/>
  <c r="AA97" i="60"/>
  <c r="AB73" i="58"/>
  <c r="AA73" i="59"/>
  <c r="AA73" i="60"/>
  <c r="AB90" i="58"/>
  <c r="AA90" i="59"/>
  <c r="AA90" i="60"/>
  <c r="AB58" i="58"/>
  <c r="AA58" i="59"/>
  <c r="AA58" i="60"/>
  <c r="AB80" i="58"/>
  <c r="AA80" i="59"/>
  <c r="AA80" i="60"/>
  <c r="AB67" i="58"/>
  <c r="AA67" i="59"/>
  <c r="AA67" i="60"/>
  <c r="AB180" i="58"/>
  <c r="AB189" i="58"/>
  <c r="AA189" i="59"/>
  <c r="AA189" i="60"/>
  <c r="AB183" i="58"/>
  <c r="AB181" i="58"/>
  <c r="AB153" i="58"/>
  <c r="AA153" i="59"/>
  <c r="AA153" i="60"/>
  <c r="AB167" i="58"/>
  <c r="AA167" i="59"/>
  <c r="AA167" i="60"/>
  <c r="AB164" i="58"/>
  <c r="AA164" i="59"/>
  <c r="AA164" i="60"/>
  <c r="AB150" i="58"/>
  <c r="AA150" i="59"/>
  <c r="AA150" i="60"/>
  <c r="AB147" i="58"/>
  <c r="AA147" i="59"/>
  <c r="AA147" i="60"/>
  <c r="AB114" i="58"/>
  <c r="AA114" i="59"/>
  <c r="AA114" i="60"/>
  <c r="AB116" i="58"/>
  <c r="AA116" i="59"/>
  <c r="AA116" i="60"/>
  <c r="AB91" i="58"/>
  <c r="AA91" i="59"/>
  <c r="AA91" i="60"/>
  <c r="AB111" i="58"/>
  <c r="AA111" i="59"/>
  <c r="AA111" i="60"/>
  <c r="AB152" i="58"/>
  <c r="AA152" i="59"/>
  <c r="AA152" i="60"/>
  <c r="AB190" i="58"/>
  <c r="AA190" i="59"/>
  <c r="AA190" i="60"/>
  <c r="AB176" i="58"/>
  <c r="AB187" i="58"/>
  <c r="AA187" i="59"/>
  <c r="AA187" i="60"/>
  <c r="AB179" i="58"/>
  <c r="AB113" i="58"/>
  <c r="AA113" i="59"/>
  <c r="AA113" i="60"/>
  <c r="AB175" i="58"/>
  <c r="AB126" i="58"/>
  <c r="AA126" i="59"/>
  <c r="AA126" i="60"/>
  <c r="AB140" i="58"/>
  <c r="AA140" i="59"/>
  <c r="AA140" i="60"/>
  <c r="AB133" i="58"/>
  <c r="AA133" i="59"/>
  <c r="AA133" i="60"/>
  <c r="AB139" i="58"/>
  <c r="AA139" i="59"/>
  <c r="AA139" i="60"/>
  <c r="AB107" i="58"/>
  <c r="AA107" i="59"/>
  <c r="AA107" i="60"/>
  <c r="AB120" i="58"/>
  <c r="AA120" i="59"/>
  <c r="AA120" i="60"/>
  <c r="AB93" i="58"/>
  <c r="AA93" i="59"/>
  <c r="AA93" i="60"/>
  <c r="AB87" i="58"/>
  <c r="AA87" i="59"/>
  <c r="AA87" i="60"/>
  <c r="AB65" i="58"/>
  <c r="AA65" i="59"/>
  <c r="AA65" i="60"/>
  <c r="AB56" i="58"/>
  <c r="AA56" i="59"/>
  <c r="AA56" i="60"/>
  <c r="AB44" i="58"/>
  <c r="AA44" i="59"/>
  <c r="AA44" i="60"/>
  <c r="AB39" i="58"/>
  <c r="AA39" i="59"/>
  <c r="AA39" i="60"/>
  <c r="AB31" i="58"/>
  <c r="AA31" i="59"/>
  <c r="AA31" i="60"/>
  <c r="AB13" i="58"/>
  <c r="AA13" i="59"/>
  <c r="AA13" i="60"/>
  <c r="AB6" i="58"/>
  <c r="AA6" i="59"/>
  <c r="AA6" i="60"/>
  <c r="AB188" i="58"/>
  <c r="AA188" i="59"/>
  <c r="AA188" i="60"/>
  <c r="AB69" i="58"/>
  <c r="AA69" i="59"/>
  <c r="AA69" i="60"/>
  <c r="AB117" i="58"/>
  <c r="AA117" i="59"/>
  <c r="AA117" i="60"/>
  <c r="AB171" i="58"/>
  <c r="AB112" i="58"/>
  <c r="AA112" i="59"/>
  <c r="AA112" i="60"/>
  <c r="AB102" i="58"/>
  <c r="AA102" i="59"/>
  <c r="AA102" i="60"/>
  <c r="AB96" i="58"/>
  <c r="AA96" i="59"/>
  <c r="AA96" i="60"/>
  <c r="AB89" i="58"/>
  <c r="AA89" i="59"/>
  <c r="AA89" i="60"/>
  <c r="AB99" i="58"/>
  <c r="AA99" i="59"/>
  <c r="AA99" i="60"/>
  <c r="AB85" i="58"/>
  <c r="AA85" i="59"/>
  <c r="AA85" i="60"/>
  <c r="AB59" i="58"/>
  <c r="AA59" i="59"/>
  <c r="AA59" i="60"/>
  <c r="AB63" i="58"/>
  <c r="AA63" i="59"/>
  <c r="AA63" i="60"/>
  <c r="AB42" i="58"/>
  <c r="AB28" i="58"/>
  <c r="AA28" i="59"/>
  <c r="AA28" i="60"/>
  <c r="AB23" i="58"/>
  <c r="AA23" i="59"/>
  <c r="AA23" i="60"/>
  <c r="AB12" i="58"/>
  <c r="AA12" i="59"/>
  <c r="AA12" i="60"/>
  <c r="AB131" i="58"/>
  <c r="AA131" i="59"/>
  <c r="AA131" i="60"/>
  <c r="AB101" i="58"/>
  <c r="AA101" i="59"/>
  <c r="AA101" i="60"/>
  <c r="AB62" i="58"/>
  <c r="AA62" i="59"/>
  <c r="AA62" i="60"/>
  <c r="AB35" i="58"/>
  <c r="AA35" i="59"/>
  <c r="AA35" i="60"/>
  <c r="AB15" i="58"/>
  <c r="AA15" i="59"/>
  <c r="AA15" i="60"/>
  <c r="AB173" i="58"/>
  <c r="AA173" i="59"/>
  <c r="AA173" i="60"/>
  <c r="AB170" i="58"/>
  <c r="AA170" i="59"/>
  <c r="AA170" i="60"/>
  <c r="AB169" i="58"/>
  <c r="AA169" i="59"/>
  <c r="AA169" i="60"/>
  <c r="AB162" i="58"/>
  <c r="AA162" i="59"/>
  <c r="AA162" i="60"/>
  <c r="AB100" i="58"/>
  <c r="AA100" i="59"/>
  <c r="AA100" i="60"/>
  <c r="AB98" i="58"/>
  <c r="AA98" i="59"/>
  <c r="AB92" i="58"/>
  <c r="AA92" i="59"/>
  <c r="AA92" i="60"/>
  <c r="AB86" i="58"/>
  <c r="AA86" i="59"/>
  <c r="AA86" i="60"/>
  <c r="AB82" i="58"/>
  <c r="AA82" i="59"/>
  <c r="AA82" i="60"/>
  <c r="AB78" i="58"/>
  <c r="AA78" i="59"/>
  <c r="AA78" i="60"/>
  <c r="AB61" i="58"/>
  <c r="AA61" i="59"/>
  <c r="AA61" i="60"/>
  <c r="AB55" i="58"/>
  <c r="AA55" i="59"/>
  <c r="AA55" i="60"/>
  <c r="AB43" i="58"/>
  <c r="AA43" i="59"/>
  <c r="AA43" i="60"/>
  <c r="AB19" i="58"/>
  <c r="AA19" i="59"/>
  <c r="AA19" i="60"/>
  <c r="AB21" i="58"/>
  <c r="AA21" i="59"/>
  <c r="AA21" i="60"/>
  <c r="AB16" i="58"/>
  <c r="AA16" i="59"/>
  <c r="AA16" i="60"/>
  <c r="AB137" i="58"/>
  <c r="AA137" i="59"/>
  <c r="AA137" i="60"/>
  <c r="AB45" i="58"/>
  <c r="AA45" i="59"/>
  <c r="AA45" i="60"/>
  <c r="AB40" i="58"/>
  <c r="AA40" i="59"/>
  <c r="AA40" i="60"/>
  <c r="AB47" i="58"/>
  <c r="AA47" i="59"/>
  <c r="AA47" i="60"/>
  <c r="AB24" i="58"/>
  <c r="AA24" i="59"/>
  <c r="AA24" i="60"/>
  <c r="AB9" i="58"/>
  <c r="AA9" i="59"/>
  <c r="AA9" i="60"/>
  <c r="AB177" i="58"/>
  <c r="AB155" i="58"/>
  <c r="AA155" i="59"/>
  <c r="AA155" i="60"/>
  <c r="AB142" i="58"/>
  <c r="AA142" i="59"/>
  <c r="AA142" i="60"/>
  <c r="AB135" i="58"/>
  <c r="AA135" i="59"/>
  <c r="AA135" i="60"/>
  <c r="AB115" i="58"/>
  <c r="AA115" i="59"/>
  <c r="AA115" i="60"/>
  <c r="AB68" i="58"/>
  <c r="AA68" i="59"/>
  <c r="AA68" i="60"/>
  <c r="AB71" i="58"/>
  <c r="AA71" i="59"/>
  <c r="AA71" i="60"/>
  <c r="AB83" i="58"/>
  <c r="AA83" i="59"/>
  <c r="AA83" i="60"/>
  <c r="AB53" i="58"/>
  <c r="AA53" i="59"/>
  <c r="AA53" i="60"/>
  <c r="AB46" i="58"/>
  <c r="AA46" i="59"/>
  <c r="AA46" i="60"/>
  <c r="AB26" i="58"/>
  <c r="AA26" i="59"/>
  <c r="AA26" i="60"/>
  <c r="AB34" i="58"/>
  <c r="AA34" i="59"/>
  <c r="AA34" i="60"/>
  <c r="AB30" i="58"/>
  <c r="AA30" i="59"/>
  <c r="AA30" i="60"/>
  <c r="AB7" i="58"/>
  <c r="AA7" i="59"/>
  <c r="AA7" i="60"/>
  <c r="AB3" i="58"/>
  <c r="AB8" i="58"/>
  <c r="AA8" i="59"/>
  <c r="AA8" i="60"/>
  <c r="AB14" i="58"/>
  <c r="AA14" i="59"/>
  <c r="AA14" i="60"/>
  <c r="AB11" i="58"/>
  <c r="AA11" i="59"/>
  <c r="AA11" i="60"/>
  <c r="AB134" i="58"/>
  <c r="AB149" i="58"/>
  <c r="AA149" i="59"/>
  <c r="AA149" i="60"/>
  <c r="AB132" i="58"/>
  <c r="AA132" i="59"/>
  <c r="AA132" i="60"/>
  <c r="AB94" i="58"/>
  <c r="AA94" i="59"/>
  <c r="AA94" i="60"/>
  <c r="AB106" i="58"/>
  <c r="AA106" i="59"/>
  <c r="AA106" i="60"/>
  <c r="AB66" i="58"/>
  <c r="AB77" i="58"/>
  <c r="AA77" i="59"/>
  <c r="AA77" i="60"/>
  <c r="AB51" i="58"/>
  <c r="AA51" i="59"/>
  <c r="AA51" i="60"/>
  <c r="AB50" i="58"/>
  <c r="AA50" i="59"/>
  <c r="AA50" i="60"/>
  <c r="AB57" i="58"/>
  <c r="AA57" i="59"/>
  <c r="AA57" i="60"/>
  <c r="AB156" i="58"/>
  <c r="AA156" i="59"/>
  <c r="AA156" i="60"/>
  <c r="AB146" i="58"/>
  <c r="AA146" i="59"/>
  <c r="AA146" i="60"/>
  <c r="AB104" i="58"/>
  <c r="AB41" i="58"/>
  <c r="AA41" i="59"/>
  <c r="AA41" i="60"/>
  <c r="AB70" i="58"/>
  <c r="AA70" i="59"/>
  <c r="AA70" i="60"/>
  <c r="AB17" i="58"/>
  <c r="AB27" i="58"/>
  <c r="AA27" i="59"/>
  <c r="AA27" i="60"/>
  <c r="AB22" i="58"/>
  <c r="AA22" i="59"/>
  <c r="AA22" i="60"/>
  <c r="AB33" i="58"/>
  <c r="AA33" i="59"/>
  <c r="AA33" i="60"/>
  <c r="AB37" i="58"/>
  <c r="AA37" i="59"/>
  <c r="AA37" i="60"/>
  <c r="AB145" i="58"/>
  <c r="AA145" i="59"/>
  <c r="AA145" i="60"/>
  <c r="AB79" i="58"/>
  <c r="AA79" i="59"/>
  <c r="AA79" i="60"/>
  <c r="AB141" i="58"/>
  <c r="AA141" i="59"/>
  <c r="AA141" i="60"/>
  <c r="AB124" i="58"/>
  <c r="AA124" i="59"/>
  <c r="AA124" i="60"/>
  <c r="AB18" i="58"/>
  <c r="AA18" i="59"/>
  <c r="AA18" i="60"/>
  <c r="AB129" i="58"/>
  <c r="AA129" i="59"/>
  <c r="AB151" i="58"/>
  <c r="AA151" i="59"/>
  <c r="AA151" i="60"/>
  <c r="AB103" i="58"/>
  <c r="AA103" i="59"/>
  <c r="AA103" i="60"/>
  <c r="AB81" i="58"/>
  <c r="AA81" i="59"/>
  <c r="AA81" i="60"/>
  <c r="AB148" i="58"/>
  <c r="AA148" i="59"/>
  <c r="AA148" i="60"/>
  <c r="AB72" i="58"/>
  <c r="AA72" i="59"/>
  <c r="AA72" i="60"/>
  <c r="AB75" i="58"/>
  <c r="AA75" i="59"/>
  <c r="AA75" i="60"/>
  <c r="Y42" i="60"/>
  <c r="Q37" i="56"/>
  <c r="Z203" i="58"/>
  <c r="AB221" i="58"/>
  <c r="AC218" i="58"/>
  <c r="Y66" i="60"/>
  <c r="Q38" i="56"/>
  <c r="Z42" i="59"/>
  <c r="R11" i="56"/>
  <c r="Z179" i="59"/>
  <c r="Z179" i="60"/>
  <c r="Z365" i="59"/>
  <c r="Z166" i="59"/>
  <c r="Z166" i="60"/>
  <c r="Z98" i="60"/>
  <c r="Z184" i="59"/>
  <c r="Z184" i="60"/>
  <c r="Z370" i="59"/>
  <c r="R5" i="55"/>
  <c r="R20" i="56"/>
  <c r="AA209" i="58"/>
  <c r="AA210" i="58"/>
  <c r="AA211" i="58"/>
  <c r="W129" i="60"/>
  <c r="X129" i="59"/>
  <c r="Y186" i="60"/>
  <c r="Q32" i="56"/>
  <c r="Z214" i="58"/>
  <c r="Q6" i="55"/>
  <c r="Q22" i="55"/>
  <c r="Q21" i="56"/>
  <c r="N49" i="56"/>
  <c r="M16" i="55"/>
  <c r="M15" i="55"/>
  <c r="M14" i="55"/>
  <c r="N10" i="55"/>
  <c r="N11" i="55"/>
  <c r="N13" i="55"/>
  <c r="O21" i="55"/>
  <c r="W196" i="59"/>
  <c r="N18" i="55"/>
  <c r="N19" i="55"/>
  <c r="V196" i="60"/>
  <c r="Z165" i="60"/>
  <c r="R31" i="56"/>
  <c r="AA17" i="59"/>
  <c r="S9" i="56"/>
  <c r="AA176" i="59"/>
  <c r="AA176" i="60"/>
  <c r="AA362" i="59"/>
  <c r="AA181" i="59"/>
  <c r="AA181" i="60"/>
  <c r="AA367" i="59"/>
  <c r="AA182" i="59"/>
  <c r="AA182" i="60"/>
  <c r="AA368" i="59"/>
  <c r="AA74" i="60"/>
  <c r="O30" i="56"/>
  <c r="O49" i="56"/>
  <c r="M23" i="55"/>
  <c r="R28" i="55"/>
  <c r="X109" i="60"/>
  <c r="P40" i="56"/>
  <c r="Y109" i="59"/>
  <c r="V197" i="59"/>
  <c r="V198" i="59"/>
  <c r="Z186" i="60"/>
  <c r="R32" i="56"/>
  <c r="AA214" i="58"/>
  <c r="R6" i="55"/>
  <c r="R22" i="55"/>
  <c r="R21" i="56"/>
  <c r="Q7" i="55"/>
  <c r="Z175" i="60"/>
  <c r="R42" i="56"/>
  <c r="X121" i="60"/>
  <c r="Y121" i="59"/>
  <c r="U197" i="59"/>
  <c r="U198" i="59"/>
  <c r="Z66" i="60"/>
  <c r="R38" i="56"/>
  <c r="AB196" i="58"/>
  <c r="AB194" i="58"/>
  <c r="AB193" i="58"/>
  <c r="AB201" i="58"/>
  <c r="AB199" i="58"/>
  <c r="AB200" i="58"/>
  <c r="AB202" i="58"/>
  <c r="S4" i="56"/>
  <c r="S10" i="56"/>
  <c r="AB207" i="58"/>
  <c r="AA171" i="59"/>
  <c r="S7" i="56"/>
  <c r="AA183" i="59"/>
  <c r="AA183" i="60"/>
  <c r="AA369" i="59"/>
  <c r="AA178" i="59"/>
  <c r="AA178" i="60"/>
  <c r="AA364" i="59"/>
  <c r="AA84" i="59"/>
  <c r="S13" i="56"/>
  <c r="AA186" i="59"/>
  <c r="S6" i="56"/>
  <c r="Z171" i="60"/>
  <c r="R33" i="56"/>
  <c r="N23" i="55"/>
  <c r="S28" i="55"/>
  <c r="R3" i="55"/>
  <c r="AA198" i="58"/>
  <c r="AA205" i="58"/>
  <c r="W26" i="55"/>
  <c r="W27" i="55"/>
  <c r="S376" i="59"/>
  <c r="S375" i="59"/>
  <c r="S377" i="59"/>
  <c r="Q23" i="56"/>
  <c r="AA98" i="60"/>
  <c r="AA175" i="59"/>
  <c r="S16" i="56"/>
  <c r="AA184" i="59"/>
  <c r="AA184" i="60"/>
  <c r="AA370" i="59"/>
  <c r="AA165" i="59"/>
  <c r="S5" i="56"/>
  <c r="S5" i="55"/>
  <c r="S20" i="56"/>
  <c r="AB209" i="58"/>
  <c r="AB210" i="58"/>
  <c r="AB211" i="58"/>
  <c r="AA10" i="59"/>
  <c r="S8" i="56"/>
  <c r="Z134" i="60"/>
  <c r="R41" i="56"/>
  <c r="Z84" i="60"/>
  <c r="R39" i="56"/>
  <c r="AC221" i="58"/>
  <c r="AD218" i="58"/>
  <c r="AA104" i="59"/>
  <c r="S14" i="56"/>
  <c r="AA134" i="59"/>
  <c r="S15" i="56"/>
  <c r="AA177" i="59"/>
  <c r="AA177" i="60"/>
  <c r="AA363" i="59"/>
  <c r="AA180" i="59"/>
  <c r="AA180" i="60"/>
  <c r="AA366" i="59"/>
  <c r="X3" i="60"/>
  <c r="Y3" i="59"/>
  <c r="Z10" i="60"/>
  <c r="R34" i="56"/>
  <c r="W5" i="60"/>
  <c r="W193" i="60"/>
  <c r="W195" i="60"/>
  <c r="X5" i="59"/>
  <c r="X193" i="59"/>
  <c r="R4" i="55"/>
  <c r="R19" i="56"/>
  <c r="Y194" i="60"/>
  <c r="T376" i="59"/>
  <c r="Y216" i="58"/>
  <c r="Z213" i="58"/>
  <c r="X129" i="60"/>
  <c r="Y129" i="59"/>
  <c r="Z42" i="60"/>
  <c r="R37" i="56"/>
  <c r="AA66" i="59"/>
  <c r="S12" i="56"/>
  <c r="AA42" i="59"/>
  <c r="S11" i="56"/>
  <c r="AA179" i="59"/>
  <c r="AA179" i="60"/>
  <c r="AA365" i="59"/>
  <c r="AA166" i="59"/>
  <c r="AA166" i="60"/>
  <c r="AB1" i="59"/>
  <c r="AD1" i="58"/>
  <c r="AC5" i="58"/>
  <c r="AC10" i="58"/>
  <c r="AC20" i="58"/>
  <c r="AB20" i="59"/>
  <c r="AB20" i="60"/>
  <c r="AC35" i="58"/>
  <c r="AB35" i="59"/>
  <c r="AB35" i="60"/>
  <c r="AC13" i="58"/>
  <c r="AB13" i="59"/>
  <c r="AB13" i="60"/>
  <c r="AC15" i="58"/>
  <c r="AB15" i="59"/>
  <c r="AB15" i="60"/>
  <c r="AC30" i="58"/>
  <c r="AB30" i="59"/>
  <c r="AB30" i="60"/>
  <c r="AC39" i="58"/>
  <c r="AB39" i="59"/>
  <c r="AB39" i="60"/>
  <c r="AC49" i="58"/>
  <c r="AB49" i="59"/>
  <c r="AB49" i="60"/>
  <c r="AC52" i="58"/>
  <c r="AB52" i="59"/>
  <c r="AB52" i="60"/>
  <c r="AC55" i="58"/>
  <c r="AB55" i="59"/>
  <c r="AB55" i="60"/>
  <c r="AC24" i="58"/>
  <c r="AB24" i="59"/>
  <c r="AB24" i="60"/>
  <c r="AC56" i="58"/>
  <c r="AB56" i="59"/>
  <c r="AB56" i="60"/>
  <c r="AC83" i="58"/>
  <c r="AB83" i="59"/>
  <c r="AB83" i="60"/>
  <c r="AC98" i="58"/>
  <c r="AB98" i="59"/>
  <c r="AB98" i="60"/>
  <c r="AC109" i="58"/>
  <c r="AC92" i="58"/>
  <c r="AB92" i="59"/>
  <c r="AB92" i="60"/>
  <c r="AC95" i="58"/>
  <c r="AB95" i="59"/>
  <c r="AB95" i="60"/>
  <c r="AC89" i="58"/>
  <c r="AB89" i="59"/>
  <c r="AB89" i="60"/>
  <c r="AC106" i="58"/>
  <c r="AB106" i="59"/>
  <c r="AB106" i="60"/>
  <c r="AC134" i="58"/>
  <c r="AC121" i="58"/>
  <c r="AC131" i="58"/>
  <c r="AB131" i="59"/>
  <c r="AB131" i="60"/>
  <c r="AC137" i="58"/>
  <c r="AB137" i="59"/>
  <c r="AB137" i="60"/>
  <c r="AC172" i="58"/>
  <c r="AB172" i="59"/>
  <c r="AB172" i="60"/>
  <c r="AC101" i="58"/>
  <c r="AB101" i="59"/>
  <c r="AB101" i="60"/>
  <c r="AC179" i="58"/>
  <c r="AC187" i="58"/>
  <c r="AB187" i="59"/>
  <c r="AB187" i="60"/>
  <c r="AC173" i="58"/>
  <c r="AB173" i="59"/>
  <c r="AB173" i="60"/>
  <c r="AC176" i="58"/>
  <c r="AC182" i="58"/>
  <c r="AC190" i="58"/>
  <c r="AB190" i="59"/>
  <c r="AB190" i="60"/>
  <c r="AC164" i="58"/>
  <c r="AB164" i="59"/>
  <c r="AB164" i="60"/>
  <c r="AC169" i="58"/>
  <c r="AB169" i="59"/>
  <c r="AB169" i="60"/>
  <c r="AC167" i="58"/>
  <c r="AB167" i="59"/>
  <c r="AB167" i="60"/>
  <c r="AC195" i="58"/>
  <c r="AC226" i="58"/>
  <c r="AC229" i="58"/>
  <c r="AC228" i="58"/>
  <c r="AB1" i="60"/>
  <c r="AC180" i="58"/>
  <c r="AC152" i="58"/>
  <c r="AB152" i="59"/>
  <c r="AB152" i="60"/>
  <c r="AC183" i="58"/>
  <c r="AC186" i="58"/>
  <c r="AC185" i="58"/>
  <c r="AB185" i="59"/>
  <c r="AB185" i="60"/>
  <c r="AC153" i="58"/>
  <c r="AB153" i="59"/>
  <c r="AB153" i="60"/>
  <c r="AC155" i="58"/>
  <c r="AB155" i="59"/>
  <c r="AB155" i="60"/>
  <c r="AC146" i="58"/>
  <c r="AB146" i="59"/>
  <c r="AB146" i="60"/>
  <c r="AC147" i="58"/>
  <c r="AB147" i="59"/>
  <c r="AB147" i="60"/>
  <c r="AC143" i="58"/>
  <c r="AB143" i="59"/>
  <c r="AB143" i="60"/>
  <c r="AC144" i="58"/>
  <c r="AB144" i="59"/>
  <c r="AB144" i="60"/>
  <c r="AC110" i="58"/>
  <c r="AB110" i="59"/>
  <c r="AB110" i="60"/>
  <c r="AC104" i="58"/>
  <c r="AC102" i="58"/>
  <c r="AB102" i="59"/>
  <c r="AB102" i="60"/>
  <c r="AC96" i="58"/>
  <c r="AB96" i="59"/>
  <c r="AB96" i="60"/>
  <c r="AC73" i="58"/>
  <c r="AB73" i="59"/>
  <c r="AB73" i="60"/>
  <c r="AC67" i="58"/>
  <c r="AB67" i="59"/>
  <c r="AB67" i="60"/>
  <c r="AC51" i="58"/>
  <c r="AB51" i="59"/>
  <c r="AB51" i="60"/>
  <c r="AC48" i="58"/>
  <c r="AB48" i="59"/>
  <c r="AB48" i="60"/>
  <c r="AC42" i="58"/>
  <c r="AC40" i="58"/>
  <c r="AB40" i="59"/>
  <c r="AB40" i="60"/>
  <c r="AC184" i="58"/>
  <c r="AC178" i="58"/>
  <c r="AC117" i="58"/>
  <c r="AB117" i="59"/>
  <c r="AB117" i="60"/>
  <c r="AC163" i="58"/>
  <c r="AB163" i="59"/>
  <c r="AB163" i="60"/>
  <c r="AC162" i="58"/>
  <c r="AB162" i="59"/>
  <c r="AB162" i="60"/>
  <c r="AC140" i="58"/>
  <c r="AB140" i="59"/>
  <c r="AB140" i="60"/>
  <c r="AC100" i="58"/>
  <c r="AB100" i="59"/>
  <c r="AB100" i="60"/>
  <c r="AC108" i="58"/>
  <c r="AB108" i="59"/>
  <c r="AB108" i="60"/>
  <c r="AC115" i="58"/>
  <c r="AB115" i="59"/>
  <c r="AB115" i="60"/>
  <c r="AC86" i="58"/>
  <c r="AB86" i="59"/>
  <c r="AB86" i="60"/>
  <c r="AC82" i="58"/>
  <c r="AB82" i="59"/>
  <c r="AB82" i="60"/>
  <c r="AC87" i="58"/>
  <c r="AB87" i="59"/>
  <c r="AB87" i="60"/>
  <c r="AC188" i="58"/>
  <c r="AB188" i="59"/>
  <c r="AB188" i="60"/>
  <c r="AC181" i="58"/>
  <c r="AC154" i="58"/>
  <c r="AB154" i="59"/>
  <c r="AB154" i="60"/>
  <c r="AC126" i="58"/>
  <c r="AB126" i="59"/>
  <c r="AB126" i="60"/>
  <c r="AC166" i="58"/>
  <c r="AB166" i="59"/>
  <c r="AB166" i="60"/>
  <c r="AC132" i="58"/>
  <c r="AB132" i="59"/>
  <c r="AB132" i="60"/>
  <c r="AC113" i="58"/>
  <c r="AB113" i="59"/>
  <c r="AB113" i="60"/>
  <c r="AC142" i="58"/>
  <c r="AB142" i="59"/>
  <c r="AB142" i="60"/>
  <c r="AC135" i="58"/>
  <c r="AB135" i="59"/>
  <c r="AB135" i="60"/>
  <c r="AC120" i="58"/>
  <c r="AB120" i="59"/>
  <c r="AB120" i="60"/>
  <c r="AC191" i="58"/>
  <c r="AB191" i="59"/>
  <c r="AB191" i="60"/>
  <c r="AC177" i="58"/>
  <c r="AC189" i="58"/>
  <c r="AB189" i="59"/>
  <c r="AB189" i="60"/>
  <c r="AC156" i="58"/>
  <c r="AB156" i="59"/>
  <c r="AB156" i="60"/>
  <c r="AC84" i="58"/>
  <c r="AC165" i="58"/>
  <c r="AC161" i="58"/>
  <c r="AB161" i="59"/>
  <c r="AB161" i="60"/>
  <c r="AC160" i="58"/>
  <c r="AB160" i="59"/>
  <c r="AB160" i="60"/>
  <c r="AC93" i="58"/>
  <c r="AB93" i="59"/>
  <c r="AB93" i="60"/>
  <c r="AC88" i="58"/>
  <c r="AB88" i="59"/>
  <c r="AB88" i="60"/>
  <c r="AC99" i="58"/>
  <c r="AB99" i="59"/>
  <c r="AB99" i="60"/>
  <c r="AC71" i="58"/>
  <c r="AB71" i="59"/>
  <c r="AB71" i="60"/>
  <c r="AC74" i="58"/>
  <c r="AB74" i="59"/>
  <c r="AB74" i="60"/>
  <c r="AC57" i="58"/>
  <c r="AB57" i="59"/>
  <c r="AB57" i="60"/>
  <c r="AC46" i="58"/>
  <c r="AB46" i="59"/>
  <c r="AB46" i="60"/>
  <c r="AC47" i="58"/>
  <c r="AB47" i="59"/>
  <c r="AB47" i="60"/>
  <c r="AC32" i="58"/>
  <c r="AB32" i="59"/>
  <c r="AB32" i="60"/>
  <c r="AC8" i="58"/>
  <c r="AB8" i="59"/>
  <c r="AB8" i="60"/>
  <c r="AC174" i="58"/>
  <c r="AB174" i="59"/>
  <c r="AB174" i="60"/>
  <c r="AC149" i="58"/>
  <c r="AB149" i="59"/>
  <c r="AB149" i="60"/>
  <c r="AC112" i="58"/>
  <c r="AB112" i="59"/>
  <c r="AB112" i="60"/>
  <c r="AC63" i="58"/>
  <c r="AB63" i="59"/>
  <c r="AB63" i="60"/>
  <c r="AC3" i="58"/>
  <c r="AC175" i="58"/>
  <c r="AC157" i="58"/>
  <c r="AB157" i="59"/>
  <c r="AB157" i="60"/>
  <c r="AC122" i="58"/>
  <c r="AB122" i="59"/>
  <c r="AB122" i="60"/>
  <c r="AC114" i="58"/>
  <c r="AB114" i="59"/>
  <c r="AB114" i="60"/>
  <c r="AC118" i="58"/>
  <c r="AB118" i="59"/>
  <c r="AB118" i="60"/>
  <c r="AC123" i="58"/>
  <c r="AB123" i="59"/>
  <c r="AB123" i="60"/>
  <c r="AC58" i="58"/>
  <c r="AB58" i="59"/>
  <c r="AB58" i="60"/>
  <c r="AC60" i="58"/>
  <c r="AB60" i="59"/>
  <c r="AB60" i="60"/>
  <c r="AC50" i="58"/>
  <c r="AB50" i="59"/>
  <c r="AB50" i="60"/>
  <c r="AC38" i="58"/>
  <c r="AB38" i="59"/>
  <c r="AB38" i="60"/>
  <c r="AC34" i="58"/>
  <c r="AB34" i="59"/>
  <c r="AB34" i="60"/>
  <c r="AC19" i="58"/>
  <c r="AB19" i="59"/>
  <c r="AB19" i="60"/>
  <c r="AC7" i="58"/>
  <c r="AB7" i="59"/>
  <c r="AB7" i="60"/>
  <c r="AC14" i="58"/>
  <c r="AB14" i="59"/>
  <c r="AB14" i="60"/>
  <c r="AC150" i="58"/>
  <c r="AB150" i="59"/>
  <c r="AB150" i="60"/>
  <c r="AC105" i="58"/>
  <c r="AB105" i="59"/>
  <c r="AB105" i="60"/>
  <c r="AC53" i="58"/>
  <c r="AB53" i="59"/>
  <c r="AB53" i="60"/>
  <c r="AC28" i="58"/>
  <c r="AB28" i="59"/>
  <c r="AB28" i="60"/>
  <c r="AC16" i="58"/>
  <c r="AB16" i="59"/>
  <c r="AB16" i="60"/>
  <c r="AC125" i="58"/>
  <c r="AB125" i="59"/>
  <c r="AB125" i="60"/>
  <c r="AC139" i="58"/>
  <c r="AB139" i="59"/>
  <c r="AB139" i="60"/>
  <c r="AC136" i="58"/>
  <c r="AB136" i="59"/>
  <c r="AB136" i="60"/>
  <c r="AC107" i="58"/>
  <c r="AB107" i="59"/>
  <c r="AB107" i="60"/>
  <c r="AC76" i="58"/>
  <c r="AB76" i="59"/>
  <c r="AB76" i="60"/>
  <c r="AC59" i="58"/>
  <c r="AB59" i="59"/>
  <c r="AB59" i="60"/>
  <c r="AC69" i="58"/>
  <c r="AB69" i="59"/>
  <c r="AB69" i="60"/>
  <c r="AC64" i="58"/>
  <c r="AB64" i="59"/>
  <c r="AB64" i="60"/>
  <c r="AC80" i="58"/>
  <c r="AB80" i="59"/>
  <c r="AB80" i="60"/>
  <c r="AC54" i="58"/>
  <c r="AB54" i="59"/>
  <c r="AB54" i="60"/>
  <c r="AC31" i="58"/>
  <c r="AB31" i="59"/>
  <c r="AB31" i="60"/>
  <c r="AC21" i="58"/>
  <c r="AB21" i="59"/>
  <c r="AB21" i="60"/>
  <c r="AC11" i="58"/>
  <c r="AB11" i="59"/>
  <c r="AB11" i="60"/>
  <c r="AC133" i="58"/>
  <c r="AB133" i="59"/>
  <c r="AB133" i="60"/>
  <c r="AC85" i="58"/>
  <c r="AB85" i="59"/>
  <c r="AB85" i="60"/>
  <c r="AC61" i="58"/>
  <c r="AB61" i="59"/>
  <c r="AB61" i="60"/>
  <c r="AC6" i="58"/>
  <c r="AB6" i="59"/>
  <c r="AB6" i="60"/>
  <c r="AC4" i="58"/>
  <c r="AB4" i="59"/>
  <c r="AB4" i="60"/>
  <c r="AC170" i="58"/>
  <c r="AB170" i="59"/>
  <c r="AB170" i="60"/>
  <c r="AC171" i="58"/>
  <c r="AC159" i="58"/>
  <c r="AB159" i="59"/>
  <c r="AB159" i="60"/>
  <c r="AC130" i="58"/>
  <c r="AB130" i="59"/>
  <c r="AB130" i="60"/>
  <c r="AC116" i="58"/>
  <c r="AB116" i="59"/>
  <c r="AB116" i="60"/>
  <c r="AC128" i="58"/>
  <c r="AB128" i="59"/>
  <c r="AB128" i="60"/>
  <c r="AC94" i="58"/>
  <c r="AB94" i="59"/>
  <c r="AB94" i="60"/>
  <c r="AC66" i="58"/>
  <c r="AC62" i="58"/>
  <c r="AB62" i="59"/>
  <c r="AB62" i="60"/>
  <c r="AC77" i="58"/>
  <c r="AB77" i="59"/>
  <c r="AB77" i="60"/>
  <c r="AC36" i="58"/>
  <c r="AB36" i="59"/>
  <c r="AB36" i="60"/>
  <c r="AC23" i="58"/>
  <c r="AB23" i="59"/>
  <c r="AB23" i="60"/>
  <c r="AC12" i="58"/>
  <c r="AB12" i="59"/>
  <c r="AB12" i="60"/>
  <c r="AC138" i="58"/>
  <c r="AB138" i="59"/>
  <c r="AB138" i="60"/>
  <c r="AC111" i="58"/>
  <c r="AB111" i="59"/>
  <c r="AB111" i="60"/>
  <c r="AC44" i="58"/>
  <c r="AB44" i="59"/>
  <c r="AB44" i="60"/>
  <c r="AC25" i="58"/>
  <c r="AB25" i="59"/>
  <c r="AB25" i="60"/>
  <c r="AC168" i="58"/>
  <c r="AB168" i="59"/>
  <c r="AB168" i="60"/>
  <c r="AC158" i="58"/>
  <c r="AB158" i="59"/>
  <c r="AB158" i="60"/>
  <c r="AC127" i="58"/>
  <c r="AB127" i="59"/>
  <c r="AB127" i="60"/>
  <c r="AC91" i="58"/>
  <c r="AB91" i="59"/>
  <c r="AB91" i="60"/>
  <c r="AC119" i="58"/>
  <c r="AB119" i="59"/>
  <c r="AB119" i="60"/>
  <c r="AC97" i="58"/>
  <c r="AB97" i="59"/>
  <c r="AB97" i="60"/>
  <c r="AC90" i="58"/>
  <c r="AB90" i="59"/>
  <c r="AB90" i="60"/>
  <c r="AC68" i="58"/>
  <c r="AB68" i="59"/>
  <c r="AB68" i="60"/>
  <c r="AC43" i="58"/>
  <c r="AB43" i="59"/>
  <c r="AB43" i="60"/>
  <c r="AC45" i="58"/>
  <c r="AB45" i="59"/>
  <c r="AB45" i="60"/>
  <c r="AC26" i="58"/>
  <c r="AB26" i="59"/>
  <c r="AB26" i="60"/>
  <c r="AC29" i="58"/>
  <c r="AB29" i="59"/>
  <c r="AB29" i="60"/>
  <c r="AC9" i="58"/>
  <c r="AB9" i="59"/>
  <c r="AB9" i="60"/>
  <c r="AC78" i="58"/>
  <c r="AB78" i="59"/>
  <c r="AB78" i="60"/>
  <c r="AC65" i="58"/>
  <c r="AB65" i="59"/>
  <c r="AB65" i="60"/>
  <c r="AC81" i="58"/>
  <c r="AB81" i="59"/>
  <c r="AB81" i="60"/>
  <c r="AC151" i="58"/>
  <c r="AB151" i="59"/>
  <c r="AB151" i="60"/>
  <c r="AC75" i="58"/>
  <c r="AB75" i="59"/>
  <c r="AB75" i="60"/>
  <c r="AC70" i="58"/>
  <c r="AB70" i="59"/>
  <c r="AB70" i="60"/>
  <c r="AC79" i="58"/>
  <c r="AB79" i="59"/>
  <c r="AB79" i="60"/>
  <c r="AC72" i="58"/>
  <c r="AB72" i="59"/>
  <c r="AB72" i="60"/>
  <c r="AC27" i="58"/>
  <c r="AB27" i="59"/>
  <c r="AB27" i="60"/>
  <c r="AC124" i="58"/>
  <c r="AB124" i="59"/>
  <c r="AB124" i="60"/>
  <c r="AC141" i="58"/>
  <c r="AB141" i="59"/>
  <c r="AB141" i="60"/>
  <c r="AC148" i="58"/>
  <c r="AB148" i="59"/>
  <c r="AB148" i="60"/>
  <c r="AC37" i="58"/>
  <c r="AB37" i="59"/>
  <c r="AB37" i="60"/>
  <c r="AC145" i="58"/>
  <c r="AB145" i="59"/>
  <c r="AB145" i="60"/>
  <c r="AC17" i="58"/>
  <c r="AC18" i="58"/>
  <c r="AB18" i="59"/>
  <c r="AB18" i="60"/>
  <c r="AC41" i="58"/>
  <c r="AB41" i="59"/>
  <c r="AB41" i="60"/>
  <c r="AC103" i="58"/>
  <c r="AB103" i="59"/>
  <c r="AB103" i="60"/>
  <c r="AC22" i="58"/>
  <c r="AB22" i="59"/>
  <c r="AB22" i="60"/>
  <c r="AC33" i="58"/>
  <c r="AB33" i="59"/>
  <c r="AB33" i="60"/>
  <c r="AC129" i="58"/>
  <c r="AB129" i="59"/>
  <c r="AA203" i="58"/>
  <c r="P9" i="55"/>
  <c r="S8" i="55"/>
  <c r="Z104" i="60"/>
  <c r="Z17" i="60"/>
  <c r="R35" i="56"/>
  <c r="R18" i="56"/>
  <c r="R23" i="56"/>
  <c r="U372" i="59"/>
  <c r="U375" i="59"/>
  <c r="U377" i="59"/>
  <c r="V372" i="59"/>
  <c r="V375" i="59"/>
  <c r="V377" i="59"/>
  <c r="O18" i="55"/>
  <c r="O19" i="55"/>
  <c r="W196" i="60"/>
  <c r="Z216" i="58"/>
  <c r="AA213" i="58"/>
  <c r="N16" i="55"/>
  <c r="N15" i="55"/>
  <c r="N14" i="55"/>
  <c r="O10" i="55"/>
  <c r="O11" i="55"/>
  <c r="O13" i="55"/>
  <c r="AD221" i="58"/>
  <c r="AE218" i="58"/>
  <c r="AB177" i="59"/>
  <c r="AB177" i="60"/>
  <c r="AB363" i="59"/>
  <c r="AB182" i="59"/>
  <c r="AB182" i="60"/>
  <c r="AB368" i="59"/>
  <c r="AA186" i="60"/>
  <c r="S32" i="56"/>
  <c r="AB181" i="59"/>
  <c r="AB181" i="60"/>
  <c r="AB367" i="59"/>
  <c r="AB178" i="59"/>
  <c r="AB178" i="60"/>
  <c r="AB364" i="59"/>
  <c r="AB179" i="59"/>
  <c r="AB179" i="60"/>
  <c r="AB365" i="59"/>
  <c r="AB134" i="59"/>
  <c r="T15" i="56"/>
  <c r="AA66" i="60"/>
  <c r="S38" i="56"/>
  <c r="X5" i="60"/>
  <c r="Y5" i="59"/>
  <c r="P36" i="56"/>
  <c r="P44" i="56"/>
  <c r="P47" i="56"/>
  <c r="AA104" i="60"/>
  <c r="AA175" i="60"/>
  <c r="S42" i="56"/>
  <c r="S3" i="55"/>
  <c r="AB198" i="58"/>
  <c r="AB205" i="58"/>
  <c r="X26" i="55"/>
  <c r="X27" i="55"/>
  <c r="U376" i="59"/>
  <c r="Q9" i="55"/>
  <c r="T8" i="55"/>
  <c r="X193" i="60"/>
  <c r="X195" i="60"/>
  <c r="AB17" i="59"/>
  <c r="T9" i="56"/>
  <c r="AB184" i="59"/>
  <c r="AB184" i="60"/>
  <c r="AB370" i="59"/>
  <c r="AB186" i="59"/>
  <c r="T6" i="56"/>
  <c r="AB10" i="59"/>
  <c r="T8" i="56"/>
  <c r="P30" i="56"/>
  <c r="S18" i="56"/>
  <c r="R7" i="55"/>
  <c r="S4" i="55"/>
  <c r="S19" i="56"/>
  <c r="Z194" i="60"/>
  <c r="AA165" i="60"/>
  <c r="S31" i="56"/>
  <c r="AB42" i="59"/>
  <c r="T11" i="56"/>
  <c r="T5" i="55"/>
  <c r="AC209" i="58"/>
  <c r="AC210" i="58"/>
  <c r="AC211" i="58"/>
  <c r="T20" i="56"/>
  <c r="AB176" i="59"/>
  <c r="AB176" i="60"/>
  <c r="AB362" i="59"/>
  <c r="AE1" i="58"/>
  <c r="AC1" i="59"/>
  <c r="AD9" i="58"/>
  <c r="AC9" i="59"/>
  <c r="AC9" i="60"/>
  <c r="AD12" i="58"/>
  <c r="AC12" i="59"/>
  <c r="AC12" i="60"/>
  <c r="AD28" i="58"/>
  <c r="AC28" i="59"/>
  <c r="AC28" i="60"/>
  <c r="AD29" i="58"/>
  <c r="AC29" i="59"/>
  <c r="AC29" i="60"/>
  <c r="AD32" i="58"/>
  <c r="AC32" i="59"/>
  <c r="AC32" i="60"/>
  <c r="AD31" i="58"/>
  <c r="AC31" i="59"/>
  <c r="AC31" i="60"/>
  <c r="AD36" i="58"/>
  <c r="AC36" i="59"/>
  <c r="AC36" i="60"/>
  <c r="AD35" i="58"/>
  <c r="AC35" i="59"/>
  <c r="AC35" i="60"/>
  <c r="AD34" i="58"/>
  <c r="AC34" i="59"/>
  <c r="AC34" i="60"/>
  <c r="AD47" i="58"/>
  <c r="AC47" i="59"/>
  <c r="AC47" i="60"/>
  <c r="AD54" i="58"/>
  <c r="AC54" i="59"/>
  <c r="AC54" i="60"/>
  <c r="AD74" i="58"/>
  <c r="AC74" i="59"/>
  <c r="AC74" i="60"/>
  <c r="AD77" i="58"/>
  <c r="AC77" i="59"/>
  <c r="AC77" i="60"/>
  <c r="AD80" i="58"/>
  <c r="AC80" i="59"/>
  <c r="AC80" i="60"/>
  <c r="AD85" i="58"/>
  <c r="AC85" i="59"/>
  <c r="AC85" i="60"/>
  <c r="AD93" i="58"/>
  <c r="AC93" i="59"/>
  <c r="AC93" i="60"/>
  <c r="AD87" i="58"/>
  <c r="AC87" i="59"/>
  <c r="AC87" i="60"/>
  <c r="AD96" i="58"/>
  <c r="AC96" i="59"/>
  <c r="AC96" i="60"/>
  <c r="AD135" i="58"/>
  <c r="AC135" i="59"/>
  <c r="AC135" i="60"/>
  <c r="AD142" i="58"/>
  <c r="AC142" i="59"/>
  <c r="AC142" i="60"/>
  <c r="AD159" i="58"/>
  <c r="AC159" i="59"/>
  <c r="AC159" i="60"/>
  <c r="AD149" i="58"/>
  <c r="AC149" i="59"/>
  <c r="AC149" i="60"/>
  <c r="AD164" i="58"/>
  <c r="AC164" i="59"/>
  <c r="AC164" i="60"/>
  <c r="AD177" i="58"/>
  <c r="AD183" i="58"/>
  <c r="AD195" i="58"/>
  <c r="AD229" i="58"/>
  <c r="AD226" i="58"/>
  <c r="AD228" i="58"/>
  <c r="AC1" i="60"/>
  <c r="AD173" i="58"/>
  <c r="AC173" i="59"/>
  <c r="AC173" i="60"/>
  <c r="AD153" i="58"/>
  <c r="AC153" i="59"/>
  <c r="AC153" i="60"/>
  <c r="AD126" i="58"/>
  <c r="AC126" i="59"/>
  <c r="AC126" i="60"/>
  <c r="AD155" i="58"/>
  <c r="AC155" i="59"/>
  <c r="AC155" i="60"/>
  <c r="AD120" i="58"/>
  <c r="AC120" i="59"/>
  <c r="AC120" i="60"/>
  <c r="AD116" i="58"/>
  <c r="AC116" i="59"/>
  <c r="AC116" i="60"/>
  <c r="AD112" i="58"/>
  <c r="AC112" i="59"/>
  <c r="AC112" i="60"/>
  <c r="AD104" i="58"/>
  <c r="AD101" i="58"/>
  <c r="AC101" i="59"/>
  <c r="AC101" i="60"/>
  <c r="AD68" i="58"/>
  <c r="AC68" i="59"/>
  <c r="AC68" i="60"/>
  <c r="AD78" i="58"/>
  <c r="AC78" i="59"/>
  <c r="AC78" i="60"/>
  <c r="AD66" i="58"/>
  <c r="AD69" i="58"/>
  <c r="AC69" i="59"/>
  <c r="AC69" i="60"/>
  <c r="AD62" i="58"/>
  <c r="AC62" i="59"/>
  <c r="AC62" i="60"/>
  <c r="AD61" i="58"/>
  <c r="AC61" i="59"/>
  <c r="AC61" i="60"/>
  <c r="AD51" i="58"/>
  <c r="AC51" i="59"/>
  <c r="AC51" i="60"/>
  <c r="AD57" i="58"/>
  <c r="AC57" i="59"/>
  <c r="AC57" i="60"/>
  <c r="AD45" i="58"/>
  <c r="AC45" i="59"/>
  <c r="AC45" i="60"/>
  <c r="AD39" i="58"/>
  <c r="AC39" i="59"/>
  <c r="AC39" i="60"/>
  <c r="AD25" i="58"/>
  <c r="AC25" i="59"/>
  <c r="AC25" i="60"/>
  <c r="AD184" i="58"/>
  <c r="AD174" i="58"/>
  <c r="AC174" i="59"/>
  <c r="AC174" i="60"/>
  <c r="AD178" i="58"/>
  <c r="AD169" i="58"/>
  <c r="AC169" i="59"/>
  <c r="AC169" i="60"/>
  <c r="AD146" i="58"/>
  <c r="AC146" i="59"/>
  <c r="AC146" i="60"/>
  <c r="AD168" i="58"/>
  <c r="AC168" i="59"/>
  <c r="AC168" i="60"/>
  <c r="AD147" i="58"/>
  <c r="AC147" i="59"/>
  <c r="AC147" i="60"/>
  <c r="AD113" i="58"/>
  <c r="AC113" i="59"/>
  <c r="AC113" i="60"/>
  <c r="AD140" i="58"/>
  <c r="AC140" i="59"/>
  <c r="AC140" i="60"/>
  <c r="AD137" i="58"/>
  <c r="AC137" i="59"/>
  <c r="AC137" i="60"/>
  <c r="AD132" i="58"/>
  <c r="AC132" i="59"/>
  <c r="AC132" i="60"/>
  <c r="AD131" i="58"/>
  <c r="AC131" i="59"/>
  <c r="AC131" i="60"/>
  <c r="AD143" i="58"/>
  <c r="AC143" i="59"/>
  <c r="AC143" i="60"/>
  <c r="AD114" i="58"/>
  <c r="AC114" i="59"/>
  <c r="AC114" i="60"/>
  <c r="AD134" i="58"/>
  <c r="AD128" i="58"/>
  <c r="AC128" i="59"/>
  <c r="AC128" i="60"/>
  <c r="AD111" i="58"/>
  <c r="AC111" i="59"/>
  <c r="AC111" i="60"/>
  <c r="AD83" i="58"/>
  <c r="AC83" i="59"/>
  <c r="AC83" i="60"/>
  <c r="AD71" i="58"/>
  <c r="AC71" i="59"/>
  <c r="AC71" i="60"/>
  <c r="AD58" i="58"/>
  <c r="AC58" i="59"/>
  <c r="AC58" i="60"/>
  <c r="AD180" i="58"/>
  <c r="AD152" i="58"/>
  <c r="AC152" i="59"/>
  <c r="AC152" i="60"/>
  <c r="AD170" i="58"/>
  <c r="AC170" i="59"/>
  <c r="AC170" i="60"/>
  <c r="AD182" i="58"/>
  <c r="AD181" i="58"/>
  <c r="AD150" i="58"/>
  <c r="AC150" i="59"/>
  <c r="AC150" i="60"/>
  <c r="AD154" i="58"/>
  <c r="AC154" i="59"/>
  <c r="AC154" i="60"/>
  <c r="AD138" i="58"/>
  <c r="AC138" i="59"/>
  <c r="AC138" i="60"/>
  <c r="AD123" i="58"/>
  <c r="AC123" i="59"/>
  <c r="AC123" i="60"/>
  <c r="AD102" i="58"/>
  <c r="AC102" i="59"/>
  <c r="AC102" i="60"/>
  <c r="AD189" i="58"/>
  <c r="AC189" i="59"/>
  <c r="AC189" i="60"/>
  <c r="AD158" i="58"/>
  <c r="AC158" i="59"/>
  <c r="AC158" i="60"/>
  <c r="AD161" i="58"/>
  <c r="AC161" i="59"/>
  <c r="AC161" i="60"/>
  <c r="AD165" i="58"/>
  <c r="AD191" i="58"/>
  <c r="AC191" i="59"/>
  <c r="AC191" i="60"/>
  <c r="AD176" i="58"/>
  <c r="AD185" i="58"/>
  <c r="AC185" i="59"/>
  <c r="AC185" i="60"/>
  <c r="AD172" i="58"/>
  <c r="AC172" i="59"/>
  <c r="AC172" i="60"/>
  <c r="AD125" i="58"/>
  <c r="AC125" i="59"/>
  <c r="AC125" i="60"/>
  <c r="AD84" i="58"/>
  <c r="AD118" i="58"/>
  <c r="AC118" i="59"/>
  <c r="AC118" i="60"/>
  <c r="AD121" i="58"/>
  <c r="AD105" i="58"/>
  <c r="AC105" i="59"/>
  <c r="AC105" i="60"/>
  <c r="AD119" i="58"/>
  <c r="AC119" i="59"/>
  <c r="AC119" i="60"/>
  <c r="AD115" i="58"/>
  <c r="AC115" i="59"/>
  <c r="AC115" i="60"/>
  <c r="AD90" i="58"/>
  <c r="AC90" i="59"/>
  <c r="AC90" i="60"/>
  <c r="AD53" i="58"/>
  <c r="AC53" i="59"/>
  <c r="AC53" i="60"/>
  <c r="AD65" i="58"/>
  <c r="AC65" i="59"/>
  <c r="AC65" i="60"/>
  <c r="AD42" i="58"/>
  <c r="AD11" i="58"/>
  <c r="AC11" i="59"/>
  <c r="AC11" i="60"/>
  <c r="AD14" i="58"/>
  <c r="AC14" i="59"/>
  <c r="AC14" i="60"/>
  <c r="AD4" i="58"/>
  <c r="AC4" i="59"/>
  <c r="AC4" i="60"/>
  <c r="AD8" i="58"/>
  <c r="AC8" i="59"/>
  <c r="AC8" i="60"/>
  <c r="AD187" i="58"/>
  <c r="AC187" i="59"/>
  <c r="AC187" i="60"/>
  <c r="AD107" i="58"/>
  <c r="AC107" i="59"/>
  <c r="AC107" i="60"/>
  <c r="AD24" i="58"/>
  <c r="AC24" i="59"/>
  <c r="AC24" i="60"/>
  <c r="AD166" i="58"/>
  <c r="AC166" i="59"/>
  <c r="AC166" i="60"/>
  <c r="AD160" i="58"/>
  <c r="AC160" i="59"/>
  <c r="AC160" i="60"/>
  <c r="AD127" i="58"/>
  <c r="AC127" i="59"/>
  <c r="AC127" i="60"/>
  <c r="AD136" i="58"/>
  <c r="AC136" i="59"/>
  <c r="AC136" i="60"/>
  <c r="AD89" i="58"/>
  <c r="AC89" i="59"/>
  <c r="AC89" i="60"/>
  <c r="AD73" i="58"/>
  <c r="AC73" i="59"/>
  <c r="AC73" i="60"/>
  <c r="AD109" i="58"/>
  <c r="AD86" i="58"/>
  <c r="AC86" i="59"/>
  <c r="AC86" i="60"/>
  <c r="AD82" i="58"/>
  <c r="AC82" i="59"/>
  <c r="AC82" i="60"/>
  <c r="AD64" i="58"/>
  <c r="AC64" i="59"/>
  <c r="AC64" i="60"/>
  <c r="AD56" i="58"/>
  <c r="AC56" i="59"/>
  <c r="AC56" i="60"/>
  <c r="AD52" i="58"/>
  <c r="AC52" i="59"/>
  <c r="AC52" i="60"/>
  <c r="AD38" i="58"/>
  <c r="AC38" i="59"/>
  <c r="AC38" i="60"/>
  <c r="AD40" i="58"/>
  <c r="AC40" i="59"/>
  <c r="AC40" i="60"/>
  <c r="AD15" i="58"/>
  <c r="AC15" i="59"/>
  <c r="AC15" i="60"/>
  <c r="AD117" i="58"/>
  <c r="AC117" i="59"/>
  <c r="AC117" i="60"/>
  <c r="AD88" i="58"/>
  <c r="AC88" i="59"/>
  <c r="AC88" i="60"/>
  <c r="AD55" i="58"/>
  <c r="AC55" i="59"/>
  <c r="AC55" i="60"/>
  <c r="AD20" i="58"/>
  <c r="AC20" i="59"/>
  <c r="AC20" i="60"/>
  <c r="AD3" i="58"/>
  <c r="AD190" i="58"/>
  <c r="AC190" i="59"/>
  <c r="AC190" i="60"/>
  <c r="AD175" i="58"/>
  <c r="AD171" i="58"/>
  <c r="AD163" i="58"/>
  <c r="AC163" i="59"/>
  <c r="AC163" i="60"/>
  <c r="AD157" i="58"/>
  <c r="AC157" i="59"/>
  <c r="AC157" i="60"/>
  <c r="AD97" i="58"/>
  <c r="AC97" i="59"/>
  <c r="AC97" i="60"/>
  <c r="AD76" i="58"/>
  <c r="AC76" i="59"/>
  <c r="AC76" i="60"/>
  <c r="AD106" i="58"/>
  <c r="AC106" i="59"/>
  <c r="AC106" i="60"/>
  <c r="AD95" i="58"/>
  <c r="AC95" i="59"/>
  <c r="AC95" i="60"/>
  <c r="AD98" i="58"/>
  <c r="AC98" i="59"/>
  <c r="AC98" i="60"/>
  <c r="AD92" i="58"/>
  <c r="AC92" i="59"/>
  <c r="AC92" i="60"/>
  <c r="AD94" i="58"/>
  <c r="AC94" i="59"/>
  <c r="AC94" i="60"/>
  <c r="AD67" i="58"/>
  <c r="AC67" i="59"/>
  <c r="AC67" i="60"/>
  <c r="AD50" i="58"/>
  <c r="AC50" i="59"/>
  <c r="AC50" i="60"/>
  <c r="AD46" i="58"/>
  <c r="AC46" i="59"/>
  <c r="AC46" i="60"/>
  <c r="AD48" i="58"/>
  <c r="AC48" i="59"/>
  <c r="AC48" i="60"/>
  <c r="AD30" i="58"/>
  <c r="AC30" i="59"/>
  <c r="AC30" i="60"/>
  <c r="AD19" i="58"/>
  <c r="AC19" i="59"/>
  <c r="AC19" i="60"/>
  <c r="AD16" i="58"/>
  <c r="AC16" i="59"/>
  <c r="AC16" i="60"/>
  <c r="AD6" i="58"/>
  <c r="AC6" i="59"/>
  <c r="AC6" i="60"/>
  <c r="AD167" i="58"/>
  <c r="AC167" i="59"/>
  <c r="AC167" i="60"/>
  <c r="AD179" i="58"/>
  <c r="AD156" i="58"/>
  <c r="AC156" i="59"/>
  <c r="AC156" i="60"/>
  <c r="AD133" i="58"/>
  <c r="AC133" i="59"/>
  <c r="AC133" i="60"/>
  <c r="AD130" i="58"/>
  <c r="AC130" i="59"/>
  <c r="AC130" i="60"/>
  <c r="AD100" i="58"/>
  <c r="AC100" i="59"/>
  <c r="AC100" i="60"/>
  <c r="AD110" i="58"/>
  <c r="AC110" i="59"/>
  <c r="AC110" i="60"/>
  <c r="AD108" i="58"/>
  <c r="AC108" i="59"/>
  <c r="AC108" i="60"/>
  <c r="AD91" i="58"/>
  <c r="AC91" i="59"/>
  <c r="AC91" i="60"/>
  <c r="AD43" i="58"/>
  <c r="AC43" i="59"/>
  <c r="AC43" i="60"/>
  <c r="AD26" i="58"/>
  <c r="AC26" i="59"/>
  <c r="AC26" i="60"/>
  <c r="AD23" i="58"/>
  <c r="AC23" i="59"/>
  <c r="AC23" i="60"/>
  <c r="AD13" i="58"/>
  <c r="AC13" i="59"/>
  <c r="AC13" i="60"/>
  <c r="AD5" i="58"/>
  <c r="AC5" i="59"/>
  <c r="AD122" i="58"/>
  <c r="AC122" i="59"/>
  <c r="AC122" i="60"/>
  <c r="AD139" i="58"/>
  <c r="AC139" i="59"/>
  <c r="AC139" i="60"/>
  <c r="AD7" i="58"/>
  <c r="AC7" i="59"/>
  <c r="AC7" i="60"/>
  <c r="AD188" i="58"/>
  <c r="AC188" i="59"/>
  <c r="AC188" i="60"/>
  <c r="AD186" i="58"/>
  <c r="AD162" i="58"/>
  <c r="AC162" i="59"/>
  <c r="AC162" i="60"/>
  <c r="AD99" i="58"/>
  <c r="AC99" i="59"/>
  <c r="AC99" i="60"/>
  <c r="AD59" i="58"/>
  <c r="AC59" i="59"/>
  <c r="AC59" i="60"/>
  <c r="AD63" i="58"/>
  <c r="AC63" i="59"/>
  <c r="AC63" i="60"/>
  <c r="AD44" i="58"/>
  <c r="AC44" i="59"/>
  <c r="AC44" i="60"/>
  <c r="AD49" i="58"/>
  <c r="AC49" i="59"/>
  <c r="AC49" i="60"/>
  <c r="AD10" i="58"/>
  <c r="AD144" i="58"/>
  <c r="AC144" i="59"/>
  <c r="AC144" i="60"/>
  <c r="AD60" i="58"/>
  <c r="AC60" i="59"/>
  <c r="AC60" i="60"/>
  <c r="AD21" i="58"/>
  <c r="AC21" i="59"/>
  <c r="AC21" i="60"/>
  <c r="AD27" i="58"/>
  <c r="AC27" i="59"/>
  <c r="AC27" i="60"/>
  <c r="AD79" i="58"/>
  <c r="AC79" i="59"/>
  <c r="AC79" i="60"/>
  <c r="AD145" i="58"/>
  <c r="AC145" i="59"/>
  <c r="AC145" i="60"/>
  <c r="AD37" i="58"/>
  <c r="AC37" i="59"/>
  <c r="AC37" i="60"/>
  <c r="AD41" i="58"/>
  <c r="AC41" i="59"/>
  <c r="AC41" i="60"/>
  <c r="AD17" i="58"/>
  <c r="AD22" i="58"/>
  <c r="AC22" i="59"/>
  <c r="AC22" i="60"/>
  <c r="AD33" i="58"/>
  <c r="AC33" i="59"/>
  <c r="AC33" i="60"/>
  <c r="AD141" i="58"/>
  <c r="AC141" i="59"/>
  <c r="AC141" i="60"/>
  <c r="AD72" i="58"/>
  <c r="AC72" i="59"/>
  <c r="AC72" i="60"/>
  <c r="AD129" i="58"/>
  <c r="AC129" i="59"/>
  <c r="AD148" i="58"/>
  <c r="AC148" i="59"/>
  <c r="AC148" i="60"/>
  <c r="AD103" i="58"/>
  <c r="AC103" i="59"/>
  <c r="AC103" i="60"/>
  <c r="AD124" i="58"/>
  <c r="AC124" i="59"/>
  <c r="AC124" i="60"/>
  <c r="AD151" i="58"/>
  <c r="AC151" i="59"/>
  <c r="AC151" i="60"/>
  <c r="AD75" i="58"/>
  <c r="AC75" i="59"/>
  <c r="AC75" i="60"/>
  <c r="AD81" i="58"/>
  <c r="AC81" i="59"/>
  <c r="AC81" i="60"/>
  <c r="AD70" i="58"/>
  <c r="AC70" i="59"/>
  <c r="AC70" i="60"/>
  <c r="AD18" i="58"/>
  <c r="AC18" i="59"/>
  <c r="AC18" i="60"/>
  <c r="Y129" i="60"/>
  <c r="Z129" i="59"/>
  <c r="P21" i="55"/>
  <c r="X196" i="59"/>
  <c r="AA10" i="60"/>
  <c r="S34" i="56"/>
  <c r="Y109" i="60"/>
  <c r="Z109" i="59"/>
  <c r="Q40" i="56"/>
  <c r="AB66" i="59"/>
  <c r="T12" i="56"/>
  <c r="AB183" i="59"/>
  <c r="AB183" i="60"/>
  <c r="AB369" i="59"/>
  <c r="AB175" i="59"/>
  <c r="T16" i="56"/>
  <c r="AB165" i="59"/>
  <c r="T5" i="56"/>
  <c r="AB104" i="59"/>
  <c r="T14" i="56"/>
  <c r="AB180" i="59"/>
  <c r="AB180" i="60"/>
  <c r="AB366" i="59"/>
  <c r="AA42" i="60"/>
  <c r="S37" i="56"/>
  <c r="R25" i="56"/>
  <c r="Y193" i="59"/>
  <c r="Y3" i="60"/>
  <c r="Q30" i="56"/>
  <c r="Q36" i="56"/>
  <c r="Z3" i="59"/>
  <c r="AA134" i="60"/>
  <c r="S41" i="56"/>
  <c r="AA84" i="60"/>
  <c r="S39" i="56"/>
  <c r="AA171" i="60"/>
  <c r="S33" i="56"/>
  <c r="AB203" i="58"/>
  <c r="W198" i="59"/>
  <c r="W197" i="59"/>
  <c r="AB171" i="59"/>
  <c r="T7" i="56"/>
  <c r="S6" i="55"/>
  <c r="S22" i="55"/>
  <c r="AB214" i="58"/>
  <c r="S21" i="56"/>
  <c r="Y121" i="60"/>
  <c r="Z121" i="59"/>
  <c r="AC202" i="58"/>
  <c r="AC194" i="58"/>
  <c r="AC196" i="58"/>
  <c r="AC201" i="58"/>
  <c r="AC199" i="58"/>
  <c r="AC193" i="58"/>
  <c r="AC200" i="58"/>
  <c r="AC207" i="58"/>
  <c r="T4" i="56"/>
  <c r="T10" i="56"/>
  <c r="AB84" i="59"/>
  <c r="T13" i="56"/>
  <c r="AA17" i="60"/>
  <c r="S35" i="56"/>
  <c r="O23" i="55"/>
  <c r="T28" i="55"/>
  <c r="V376" i="59"/>
  <c r="Q44" i="56"/>
  <c r="Q47" i="56"/>
  <c r="Z129" i="60"/>
  <c r="AA129" i="60"/>
  <c r="AB129" i="60"/>
  <c r="S23" i="56"/>
  <c r="P49" i="56"/>
  <c r="O14" i="55"/>
  <c r="O15" i="55"/>
  <c r="O16" i="55"/>
  <c r="P10" i="55"/>
  <c r="P11" i="55"/>
  <c r="P13" i="55"/>
  <c r="AC176" i="59"/>
  <c r="AC176" i="60"/>
  <c r="AC362" i="59"/>
  <c r="AA216" i="58"/>
  <c r="AB213" i="58"/>
  <c r="T3" i="55"/>
  <c r="AC198" i="58"/>
  <c r="AC205" i="58"/>
  <c r="Y26" i="55"/>
  <c r="Y27" i="55"/>
  <c r="AB84" i="60"/>
  <c r="T39" i="56"/>
  <c r="AC214" i="58"/>
  <c r="T6" i="55"/>
  <c r="T22" i="55"/>
  <c r="T21" i="56"/>
  <c r="AB175" i="60"/>
  <c r="T42" i="56"/>
  <c r="Z109" i="60"/>
  <c r="AA109" i="59"/>
  <c r="R40" i="56"/>
  <c r="AC10" i="59"/>
  <c r="U8" i="56"/>
  <c r="AC179" i="59"/>
  <c r="AC179" i="60"/>
  <c r="AC365" i="59"/>
  <c r="AB42" i="60"/>
  <c r="T37" i="56"/>
  <c r="S25" i="56"/>
  <c r="AB104" i="60"/>
  <c r="T4" i="55"/>
  <c r="T19" i="56"/>
  <c r="AA194" i="60"/>
  <c r="Q21" i="55"/>
  <c r="Y196" i="59"/>
  <c r="AC186" i="59"/>
  <c r="U6" i="56"/>
  <c r="AC171" i="59"/>
  <c r="U7" i="56"/>
  <c r="AC42" i="59"/>
  <c r="U11" i="56"/>
  <c r="AC181" i="59"/>
  <c r="AC181" i="60"/>
  <c r="AC367" i="59"/>
  <c r="AC184" i="59"/>
  <c r="AC184" i="60"/>
  <c r="AC370" i="59"/>
  <c r="R9" i="55"/>
  <c r="AB186" i="60"/>
  <c r="T32" i="56"/>
  <c r="P18" i="55"/>
  <c r="P19" i="55"/>
  <c r="X196" i="60"/>
  <c r="AC104" i="59"/>
  <c r="U14" i="56"/>
  <c r="U5" i="55"/>
  <c r="U20" i="56"/>
  <c r="AD209" i="58"/>
  <c r="AD210" i="58"/>
  <c r="AD211" i="58"/>
  <c r="T18" i="56"/>
  <c r="AC17" i="59"/>
  <c r="U9" i="56"/>
  <c r="AC183" i="59"/>
  <c r="AC183" i="60"/>
  <c r="AC369" i="59"/>
  <c r="U8" i="55"/>
  <c r="AB134" i="60"/>
  <c r="T41" i="56"/>
  <c r="AC182" i="59"/>
  <c r="AC182" i="60"/>
  <c r="AC368" i="59"/>
  <c r="AB165" i="60"/>
  <c r="T31" i="56"/>
  <c r="AB66" i="60"/>
  <c r="T38" i="56"/>
  <c r="X198" i="59"/>
  <c r="X197" i="59"/>
  <c r="AC129" i="60"/>
  <c r="AD194" i="58"/>
  <c r="AD196" i="58"/>
  <c r="AD193" i="58"/>
  <c r="AD202" i="58"/>
  <c r="AD201" i="58"/>
  <c r="AD199" i="58"/>
  <c r="AD200" i="58"/>
  <c r="AD207" i="58"/>
  <c r="U4" i="56"/>
  <c r="U10" i="56"/>
  <c r="AC84" i="59"/>
  <c r="U13" i="56"/>
  <c r="AC165" i="59"/>
  <c r="U5" i="56"/>
  <c r="AC66" i="59"/>
  <c r="U12" i="56"/>
  <c r="AC177" i="59"/>
  <c r="AC177" i="60"/>
  <c r="AC363" i="59"/>
  <c r="S7" i="55"/>
  <c r="Y5" i="60"/>
  <c r="Y193" i="60"/>
  <c r="Y195" i="60"/>
  <c r="Z5" i="59"/>
  <c r="R30" i="56"/>
  <c r="AE221" i="58"/>
  <c r="AF218" i="58"/>
  <c r="Z3" i="60"/>
  <c r="Z193" i="59"/>
  <c r="AA3" i="59"/>
  <c r="AC175" i="59"/>
  <c r="U16" i="56"/>
  <c r="AC203" i="58"/>
  <c r="Z121" i="60"/>
  <c r="AA121" i="59"/>
  <c r="AB171" i="60"/>
  <c r="T33" i="56"/>
  <c r="W372" i="59"/>
  <c r="Q49" i="56"/>
  <c r="P23" i="55"/>
  <c r="U28" i="55"/>
  <c r="AC180" i="59"/>
  <c r="AC180" i="60"/>
  <c r="AC366" i="59"/>
  <c r="AC134" i="59"/>
  <c r="U15" i="56"/>
  <c r="AC178" i="59"/>
  <c r="AC178" i="60"/>
  <c r="AC364" i="59"/>
  <c r="AE4" i="58"/>
  <c r="AD4" i="59"/>
  <c r="AD4" i="60"/>
  <c r="AE5" i="58"/>
  <c r="AD5" i="59"/>
  <c r="AF1" i="58"/>
  <c r="AE8" i="58"/>
  <c r="AD8" i="59"/>
  <c r="AD8" i="60"/>
  <c r="AD1" i="59"/>
  <c r="AE11" i="58"/>
  <c r="AD11" i="59"/>
  <c r="AD11" i="60"/>
  <c r="AE14" i="58"/>
  <c r="AD14" i="59"/>
  <c r="AD14" i="60"/>
  <c r="AE20" i="58"/>
  <c r="AD20" i="59"/>
  <c r="AD20" i="60"/>
  <c r="AE36" i="58"/>
  <c r="AD36" i="59"/>
  <c r="AD36" i="60"/>
  <c r="AE21" i="58"/>
  <c r="AD21" i="59"/>
  <c r="AD21" i="60"/>
  <c r="AE29" i="58"/>
  <c r="AD29" i="59"/>
  <c r="AD29" i="60"/>
  <c r="AE32" i="58"/>
  <c r="AD32" i="59"/>
  <c r="AD32" i="60"/>
  <c r="AE52" i="58"/>
  <c r="AD52" i="59"/>
  <c r="AD52" i="60"/>
  <c r="AE54" i="58"/>
  <c r="AD54" i="59"/>
  <c r="AD54" i="60"/>
  <c r="AE74" i="58"/>
  <c r="AD74" i="59"/>
  <c r="AD74" i="60"/>
  <c r="AE83" i="58"/>
  <c r="AD83" i="59"/>
  <c r="AD83" i="60"/>
  <c r="AE94" i="58"/>
  <c r="AD94" i="59"/>
  <c r="AD94" i="60"/>
  <c r="AE106" i="58"/>
  <c r="AD106" i="59"/>
  <c r="AD106" i="60"/>
  <c r="AE88" i="58"/>
  <c r="AD88" i="59"/>
  <c r="AD88" i="60"/>
  <c r="AE121" i="58"/>
  <c r="AE109" i="58"/>
  <c r="AE91" i="58"/>
  <c r="AD91" i="59"/>
  <c r="AD91" i="60"/>
  <c r="AE128" i="58"/>
  <c r="AD128" i="59"/>
  <c r="AD128" i="60"/>
  <c r="AE130" i="58"/>
  <c r="AD130" i="59"/>
  <c r="AD130" i="60"/>
  <c r="AE140" i="58"/>
  <c r="AD140" i="59"/>
  <c r="AD140" i="60"/>
  <c r="AE123" i="58"/>
  <c r="AD123" i="59"/>
  <c r="AD123" i="60"/>
  <c r="AE143" i="58"/>
  <c r="AD143" i="59"/>
  <c r="AD143" i="60"/>
  <c r="AE154" i="58"/>
  <c r="AD154" i="59"/>
  <c r="AD154" i="60"/>
  <c r="AE162" i="58"/>
  <c r="AD162" i="59"/>
  <c r="AD162" i="60"/>
  <c r="AE133" i="58"/>
  <c r="AD133" i="59"/>
  <c r="AD133" i="60"/>
  <c r="AE175" i="58"/>
  <c r="AE181" i="58"/>
  <c r="AE185" i="58"/>
  <c r="AD185" i="59"/>
  <c r="AD185" i="60"/>
  <c r="AE189" i="58"/>
  <c r="AD189" i="59"/>
  <c r="AD189" i="60"/>
  <c r="AE168" i="58"/>
  <c r="AD168" i="59"/>
  <c r="AD168" i="60"/>
  <c r="AE186" i="58"/>
  <c r="AE195" i="58"/>
  <c r="AE226" i="58"/>
  <c r="AE228" i="58"/>
  <c r="AD1" i="60"/>
  <c r="AE152" i="58"/>
  <c r="AD152" i="59"/>
  <c r="AD152" i="60"/>
  <c r="AE190" i="58"/>
  <c r="AD190" i="59"/>
  <c r="AD190" i="60"/>
  <c r="AE176" i="58"/>
  <c r="AE187" i="58"/>
  <c r="AD187" i="59"/>
  <c r="AD187" i="60"/>
  <c r="AE179" i="58"/>
  <c r="AE160" i="58"/>
  <c r="AD160" i="59"/>
  <c r="AD160" i="60"/>
  <c r="AE113" i="58"/>
  <c r="AD113" i="59"/>
  <c r="AD113" i="60"/>
  <c r="AE84" i="58"/>
  <c r="AE144" i="58"/>
  <c r="AD144" i="59"/>
  <c r="AD144" i="60"/>
  <c r="AE120" i="58"/>
  <c r="AD120" i="59"/>
  <c r="AD120" i="60"/>
  <c r="AE92" i="58"/>
  <c r="AD92" i="59"/>
  <c r="AD92" i="60"/>
  <c r="AE99" i="58"/>
  <c r="AD99" i="59"/>
  <c r="AD99" i="60"/>
  <c r="AE68" i="58"/>
  <c r="AD68" i="59"/>
  <c r="AD68" i="60"/>
  <c r="AE59" i="58"/>
  <c r="AD59" i="59"/>
  <c r="AD59" i="60"/>
  <c r="AE80" i="58"/>
  <c r="AD80" i="59"/>
  <c r="AD80" i="60"/>
  <c r="AE63" i="58"/>
  <c r="AD63" i="59"/>
  <c r="AD63" i="60"/>
  <c r="AE43" i="58"/>
  <c r="AD43" i="59"/>
  <c r="AD43" i="60"/>
  <c r="AE57" i="58"/>
  <c r="AD57" i="59"/>
  <c r="AD57" i="60"/>
  <c r="AE47" i="58"/>
  <c r="AD47" i="59"/>
  <c r="AD47" i="60"/>
  <c r="AE39" i="58"/>
  <c r="AD39" i="59"/>
  <c r="AD39" i="60"/>
  <c r="AE178" i="58"/>
  <c r="AE191" i="58"/>
  <c r="AD191" i="59"/>
  <c r="AD191" i="60"/>
  <c r="AE182" i="58"/>
  <c r="AE171" i="58"/>
  <c r="AE150" i="58"/>
  <c r="AD150" i="59"/>
  <c r="AD150" i="60"/>
  <c r="AE138" i="58"/>
  <c r="AD138" i="59"/>
  <c r="AD138" i="60"/>
  <c r="AE125" i="58"/>
  <c r="AD125" i="59"/>
  <c r="AD125" i="60"/>
  <c r="AE136" i="58"/>
  <c r="AD136" i="59"/>
  <c r="AD136" i="60"/>
  <c r="AE100" i="58"/>
  <c r="AD100" i="59"/>
  <c r="AD100" i="60"/>
  <c r="AE110" i="58"/>
  <c r="AD110" i="59"/>
  <c r="AD110" i="60"/>
  <c r="AE76" i="58"/>
  <c r="AD76" i="59"/>
  <c r="AD76" i="60"/>
  <c r="AE95" i="58"/>
  <c r="AD95" i="59"/>
  <c r="AD95" i="60"/>
  <c r="AE157" i="58"/>
  <c r="AD157" i="59"/>
  <c r="AD157" i="60"/>
  <c r="AE177" i="58"/>
  <c r="AE173" i="58"/>
  <c r="AD173" i="59"/>
  <c r="AD173" i="60"/>
  <c r="AE170" i="58"/>
  <c r="AD170" i="59"/>
  <c r="AD170" i="60"/>
  <c r="AE156" i="58"/>
  <c r="AD156" i="59"/>
  <c r="AD156" i="60"/>
  <c r="AE146" i="58"/>
  <c r="AD146" i="59"/>
  <c r="AD146" i="60"/>
  <c r="AE126" i="58"/>
  <c r="AD126" i="59"/>
  <c r="AD126" i="60"/>
  <c r="AE149" i="58"/>
  <c r="AD149" i="59"/>
  <c r="AD149" i="60"/>
  <c r="AE127" i="58"/>
  <c r="AD127" i="59"/>
  <c r="AD127" i="60"/>
  <c r="AE137" i="58"/>
  <c r="AD137" i="59"/>
  <c r="AD137" i="60"/>
  <c r="AE131" i="58"/>
  <c r="AD131" i="59"/>
  <c r="AD131" i="60"/>
  <c r="AE134" i="58"/>
  <c r="AE112" i="58"/>
  <c r="AD112" i="59"/>
  <c r="AD112" i="60"/>
  <c r="AE104" i="58"/>
  <c r="AE102" i="58"/>
  <c r="AD102" i="59"/>
  <c r="AD102" i="60"/>
  <c r="AE180" i="58"/>
  <c r="AE183" i="58"/>
  <c r="AE153" i="58"/>
  <c r="AD153" i="59"/>
  <c r="AD153" i="60"/>
  <c r="AE167" i="58"/>
  <c r="AD167" i="59"/>
  <c r="AD167" i="60"/>
  <c r="AE164" i="58"/>
  <c r="AD164" i="59"/>
  <c r="AD164" i="60"/>
  <c r="AE166" i="58"/>
  <c r="AD166" i="59"/>
  <c r="AD166" i="60"/>
  <c r="AE163" i="58"/>
  <c r="AD163" i="59"/>
  <c r="AD163" i="60"/>
  <c r="AE114" i="58"/>
  <c r="AD114" i="59"/>
  <c r="AD114" i="60"/>
  <c r="AE229" i="58"/>
  <c r="AE174" i="58"/>
  <c r="AD174" i="59"/>
  <c r="AD174" i="60"/>
  <c r="AE132" i="58"/>
  <c r="AD132" i="59"/>
  <c r="AD132" i="60"/>
  <c r="AE118" i="58"/>
  <c r="AD118" i="59"/>
  <c r="AD118" i="60"/>
  <c r="AE108" i="58"/>
  <c r="AD108" i="59"/>
  <c r="AD108" i="60"/>
  <c r="AE90" i="58"/>
  <c r="AD90" i="59"/>
  <c r="AD90" i="60"/>
  <c r="AE66" i="58"/>
  <c r="AE51" i="58"/>
  <c r="AD51" i="59"/>
  <c r="AD51" i="60"/>
  <c r="AE50" i="58"/>
  <c r="AD50" i="59"/>
  <c r="AD50" i="60"/>
  <c r="AE49" i="58"/>
  <c r="AD49" i="59"/>
  <c r="AD49" i="60"/>
  <c r="AE12" i="58"/>
  <c r="AD12" i="59"/>
  <c r="AD12" i="60"/>
  <c r="AE67" i="58"/>
  <c r="AD67" i="59"/>
  <c r="AD67" i="60"/>
  <c r="AE161" i="58"/>
  <c r="AD161" i="59"/>
  <c r="AD161" i="60"/>
  <c r="AE159" i="58"/>
  <c r="AD159" i="59"/>
  <c r="AD159" i="60"/>
  <c r="AE97" i="58"/>
  <c r="AD97" i="59"/>
  <c r="AD97" i="60"/>
  <c r="AE139" i="58"/>
  <c r="AD139" i="59"/>
  <c r="AD139" i="60"/>
  <c r="AE107" i="58"/>
  <c r="AD107" i="59"/>
  <c r="AD107" i="60"/>
  <c r="AE93" i="58"/>
  <c r="AD93" i="59"/>
  <c r="AD93" i="60"/>
  <c r="AE58" i="58"/>
  <c r="AD58" i="59"/>
  <c r="AD58" i="60"/>
  <c r="AE69" i="58"/>
  <c r="AD69" i="59"/>
  <c r="AD69" i="60"/>
  <c r="AE65" i="58"/>
  <c r="AD65" i="59"/>
  <c r="AD65" i="60"/>
  <c r="AE56" i="58"/>
  <c r="AD56" i="59"/>
  <c r="AD56" i="60"/>
  <c r="AE44" i="58"/>
  <c r="AD44" i="59"/>
  <c r="AD44" i="60"/>
  <c r="AE48" i="58"/>
  <c r="AD48" i="59"/>
  <c r="AD48" i="60"/>
  <c r="AE31" i="58"/>
  <c r="AD31" i="59"/>
  <c r="AD31" i="60"/>
  <c r="AE24" i="58"/>
  <c r="AD24" i="59"/>
  <c r="AD24" i="60"/>
  <c r="AE15" i="58"/>
  <c r="AD15" i="59"/>
  <c r="AD15" i="60"/>
  <c r="AE13" i="58"/>
  <c r="AD13" i="59"/>
  <c r="AD13" i="60"/>
  <c r="AE6" i="58"/>
  <c r="AD6" i="59"/>
  <c r="AD6" i="60"/>
  <c r="AE10" i="58"/>
  <c r="AE165" i="58"/>
  <c r="AE111" i="58"/>
  <c r="AD111" i="59"/>
  <c r="AD111" i="60"/>
  <c r="AE117" i="58"/>
  <c r="AD117" i="59"/>
  <c r="AD117" i="60"/>
  <c r="AE96" i="58"/>
  <c r="AD96" i="59"/>
  <c r="AD96" i="60"/>
  <c r="AE89" i="58"/>
  <c r="AD89" i="59"/>
  <c r="AD89" i="60"/>
  <c r="AE85" i="58"/>
  <c r="AD85" i="59"/>
  <c r="AD85" i="60"/>
  <c r="AE71" i="58"/>
  <c r="AD71" i="59"/>
  <c r="AD71" i="60"/>
  <c r="AE42" i="58"/>
  <c r="AE35" i="58"/>
  <c r="AD35" i="59"/>
  <c r="AD35" i="60"/>
  <c r="AE28" i="58"/>
  <c r="AD28" i="59"/>
  <c r="AD28" i="60"/>
  <c r="AE23" i="58"/>
  <c r="AD23" i="59"/>
  <c r="AD23" i="60"/>
  <c r="AE7" i="58"/>
  <c r="AD7" i="59"/>
  <c r="AD7" i="60"/>
  <c r="AE188" i="58"/>
  <c r="AD188" i="59"/>
  <c r="AD188" i="60"/>
  <c r="AE172" i="58"/>
  <c r="AD172" i="59"/>
  <c r="AD172" i="60"/>
  <c r="AE122" i="58"/>
  <c r="AD122" i="59"/>
  <c r="AD122" i="60"/>
  <c r="AE147" i="58"/>
  <c r="AD147" i="59"/>
  <c r="AD147" i="60"/>
  <c r="AE116" i="58"/>
  <c r="AD116" i="59"/>
  <c r="AD116" i="60"/>
  <c r="AE101" i="58"/>
  <c r="AD101" i="59"/>
  <c r="AD101" i="60"/>
  <c r="AE62" i="58"/>
  <c r="AD62" i="59"/>
  <c r="AD62" i="60"/>
  <c r="AE77" i="58"/>
  <c r="AD77" i="59"/>
  <c r="AD77" i="60"/>
  <c r="AE64" i="58"/>
  <c r="AD64" i="59"/>
  <c r="AD64" i="60"/>
  <c r="AE45" i="58"/>
  <c r="AD45" i="59"/>
  <c r="AD45" i="60"/>
  <c r="AE40" i="58"/>
  <c r="AD40" i="59"/>
  <c r="AD40" i="60"/>
  <c r="AE26" i="58"/>
  <c r="AD26" i="59"/>
  <c r="AD26" i="60"/>
  <c r="AE3" i="58"/>
  <c r="AE98" i="58"/>
  <c r="AD98" i="59"/>
  <c r="AD98" i="60"/>
  <c r="AE25" i="58"/>
  <c r="AD25" i="59"/>
  <c r="AD25" i="60"/>
  <c r="AE16" i="58"/>
  <c r="AD16" i="59"/>
  <c r="AD16" i="60"/>
  <c r="AE184" i="58"/>
  <c r="AE169" i="58"/>
  <c r="AD169" i="59"/>
  <c r="AD169" i="60"/>
  <c r="AE155" i="58"/>
  <c r="AD155" i="59"/>
  <c r="AD155" i="60"/>
  <c r="AE142" i="58"/>
  <c r="AD142" i="59"/>
  <c r="AD142" i="60"/>
  <c r="AE135" i="58"/>
  <c r="AD135" i="59"/>
  <c r="AD135" i="60"/>
  <c r="AE105" i="58"/>
  <c r="AD105" i="59"/>
  <c r="AD105" i="60"/>
  <c r="AE119" i="58"/>
  <c r="AD119" i="59"/>
  <c r="AD119" i="60"/>
  <c r="AE115" i="58"/>
  <c r="AD115" i="59"/>
  <c r="AD115" i="60"/>
  <c r="AE86" i="58"/>
  <c r="AD86" i="59"/>
  <c r="AD86" i="60"/>
  <c r="AE82" i="58"/>
  <c r="AD82" i="59"/>
  <c r="AD82" i="60"/>
  <c r="AE87" i="58"/>
  <c r="AD87" i="59"/>
  <c r="AD87" i="60"/>
  <c r="AE53" i="58"/>
  <c r="AD53" i="59"/>
  <c r="AD53" i="60"/>
  <c r="AE60" i="58"/>
  <c r="AD60" i="59"/>
  <c r="AD60" i="60"/>
  <c r="AE55" i="58"/>
  <c r="AD55" i="59"/>
  <c r="AD55" i="60"/>
  <c r="AE46" i="58"/>
  <c r="AD46" i="59"/>
  <c r="AD46" i="60"/>
  <c r="AE38" i="58"/>
  <c r="AD38" i="59"/>
  <c r="AD38" i="60"/>
  <c r="AE34" i="58"/>
  <c r="AD34" i="59"/>
  <c r="AD34" i="60"/>
  <c r="AE30" i="58"/>
  <c r="AD30" i="59"/>
  <c r="AD30" i="60"/>
  <c r="AE19" i="58"/>
  <c r="AD19" i="59"/>
  <c r="AD19" i="60"/>
  <c r="AE9" i="58"/>
  <c r="AD9" i="59"/>
  <c r="AD9" i="60"/>
  <c r="AE158" i="58"/>
  <c r="AD158" i="59"/>
  <c r="AD158" i="60"/>
  <c r="AE73" i="58"/>
  <c r="AD73" i="59"/>
  <c r="AD73" i="60"/>
  <c r="AE78" i="58"/>
  <c r="AD78" i="59"/>
  <c r="AD78" i="60"/>
  <c r="AE61" i="58"/>
  <c r="AD61" i="59"/>
  <c r="AD61" i="60"/>
  <c r="AE81" i="58"/>
  <c r="AD81" i="59"/>
  <c r="AD81" i="60"/>
  <c r="AE72" i="58"/>
  <c r="AD72" i="59"/>
  <c r="AD72" i="60"/>
  <c r="AE37" i="58"/>
  <c r="AD37" i="59"/>
  <c r="AD37" i="60"/>
  <c r="AE41" i="58"/>
  <c r="AD41" i="59"/>
  <c r="AD41" i="60"/>
  <c r="AE70" i="58"/>
  <c r="AD70" i="59"/>
  <c r="AD70" i="60"/>
  <c r="AE27" i="58"/>
  <c r="AD27" i="59"/>
  <c r="AD27" i="60"/>
  <c r="AE124" i="58"/>
  <c r="AD124" i="59"/>
  <c r="AD124" i="60"/>
  <c r="AE148" i="58"/>
  <c r="AD148" i="59"/>
  <c r="AD148" i="60"/>
  <c r="AE129" i="58"/>
  <c r="AD129" i="59"/>
  <c r="AD129" i="60"/>
  <c r="AE75" i="58"/>
  <c r="AD75" i="59"/>
  <c r="AD75" i="60"/>
  <c r="AE22" i="58"/>
  <c r="AD22" i="59"/>
  <c r="AD22" i="60"/>
  <c r="AE33" i="58"/>
  <c r="AD33" i="59"/>
  <c r="AD33" i="60"/>
  <c r="AE79" i="58"/>
  <c r="AD79" i="59"/>
  <c r="AD79" i="60"/>
  <c r="AE141" i="58"/>
  <c r="AD141" i="59"/>
  <c r="AD141" i="60"/>
  <c r="AE17" i="58"/>
  <c r="AE18" i="58"/>
  <c r="AD18" i="59"/>
  <c r="AD18" i="60"/>
  <c r="AE151" i="58"/>
  <c r="AD151" i="59"/>
  <c r="AD151" i="60"/>
  <c r="AE103" i="58"/>
  <c r="AD103" i="59"/>
  <c r="AD103" i="60"/>
  <c r="AE145" i="58"/>
  <c r="AD145" i="59"/>
  <c r="AD145" i="60"/>
  <c r="AB10" i="60"/>
  <c r="T34" i="56"/>
  <c r="AB17" i="60"/>
  <c r="T35" i="56"/>
  <c r="X372" i="59"/>
  <c r="T23" i="56"/>
  <c r="R36" i="56"/>
  <c r="R44" i="56"/>
  <c r="R47" i="56"/>
  <c r="Y196" i="60"/>
  <c r="Q18" i="55"/>
  <c r="Q19" i="55"/>
  <c r="P16" i="55"/>
  <c r="Q11" i="55"/>
  <c r="Q13" i="55"/>
  <c r="R10" i="55"/>
  <c r="P15" i="55"/>
  <c r="P14" i="55"/>
  <c r="Q10" i="55"/>
  <c r="AF221" i="58"/>
  <c r="AG218" i="58"/>
  <c r="AD184" i="59"/>
  <c r="AD184" i="60"/>
  <c r="AD370" i="59"/>
  <c r="AD180" i="59"/>
  <c r="AD180" i="60"/>
  <c r="AD366" i="59"/>
  <c r="AD171" i="59"/>
  <c r="V7" i="56"/>
  <c r="Z5" i="60"/>
  <c r="AA5" i="59"/>
  <c r="AC66" i="60"/>
  <c r="U38" i="56"/>
  <c r="U3" i="55"/>
  <c r="AD198" i="58"/>
  <c r="AD205" i="58"/>
  <c r="Z26" i="55"/>
  <c r="Z27" i="55"/>
  <c r="AD182" i="59"/>
  <c r="AD182" i="60"/>
  <c r="AD368" i="59"/>
  <c r="AD179" i="59"/>
  <c r="AD179" i="60"/>
  <c r="AD365" i="59"/>
  <c r="AE1" i="59"/>
  <c r="AG1" i="58"/>
  <c r="AF10" i="58"/>
  <c r="AF5" i="58"/>
  <c r="AE5" i="59"/>
  <c r="AF20" i="58"/>
  <c r="AE20" i="59"/>
  <c r="AE20" i="60"/>
  <c r="AF35" i="58"/>
  <c r="AE35" i="59"/>
  <c r="AE35" i="60"/>
  <c r="AF28" i="58"/>
  <c r="AE28" i="59"/>
  <c r="AE28" i="60"/>
  <c r="AF39" i="58"/>
  <c r="AE39" i="59"/>
  <c r="AE39" i="60"/>
  <c r="AF52" i="58"/>
  <c r="AE52" i="59"/>
  <c r="AE52" i="60"/>
  <c r="AF50" i="58"/>
  <c r="AE50" i="59"/>
  <c r="AE50" i="60"/>
  <c r="AF89" i="58"/>
  <c r="AE89" i="59"/>
  <c r="AE89" i="60"/>
  <c r="AF101" i="58"/>
  <c r="AE101" i="59"/>
  <c r="AE101" i="60"/>
  <c r="AF119" i="58"/>
  <c r="AE119" i="59"/>
  <c r="AE119" i="60"/>
  <c r="AF131" i="58"/>
  <c r="AE131" i="59"/>
  <c r="AE131" i="60"/>
  <c r="AF137" i="58"/>
  <c r="AE137" i="59"/>
  <c r="AE137" i="60"/>
  <c r="AF138" i="58"/>
  <c r="AE138" i="59"/>
  <c r="AE138" i="60"/>
  <c r="AF155" i="58"/>
  <c r="AE155" i="59"/>
  <c r="AE155" i="60"/>
  <c r="AF179" i="58"/>
  <c r="AF195" i="58"/>
  <c r="AF187" i="58"/>
  <c r="AE187" i="59"/>
  <c r="AE187" i="60"/>
  <c r="AF226" i="58"/>
  <c r="AF228" i="58"/>
  <c r="AF229" i="58"/>
  <c r="AE1" i="60"/>
  <c r="AF191" i="58"/>
  <c r="AE191" i="59"/>
  <c r="AE191" i="60"/>
  <c r="AF177" i="58"/>
  <c r="AF173" i="58"/>
  <c r="AE173" i="59"/>
  <c r="AE173" i="60"/>
  <c r="AF189" i="58"/>
  <c r="AE189" i="59"/>
  <c r="AE189" i="60"/>
  <c r="AF167" i="58"/>
  <c r="AE167" i="59"/>
  <c r="AE167" i="60"/>
  <c r="AF156" i="58"/>
  <c r="AE156" i="59"/>
  <c r="AE156" i="60"/>
  <c r="AF158" i="58"/>
  <c r="AE158" i="59"/>
  <c r="AE158" i="60"/>
  <c r="AF139" i="58"/>
  <c r="AE139" i="59"/>
  <c r="AE139" i="60"/>
  <c r="AF118" i="58"/>
  <c r="AE118" i="59"/>
  <c r="AE118" i="60"/>
  <c r="AF110" i="58"/>
  <c r="AE110" i="59"/>
  <c r="AE110" i="60"/>
  <c r="AF97" i="58"/>
  <c r="AE97" i="59"/>
  <c r="AE97" i="60"/>
  <c r="AF76" i="58"/>
  <c r="AE76" i="59"/>
  <c r="AE76" i="60"/>
  <c r="AF93" i="58"/>
  <c r="AE93" i="59"/>
  <c r="AE93" i="60"/>
  <c r="AF59" i="58"/>
  <c r="AE59" i="59"/>
  <c r="AE59" i="60"/>
  <c r="AF87" i="58"/>
  <c r="AE87" i="59"/>
  <c r="AE87" i="60"/>
  <c r="AF64" i="58"/>
  <c r="AE64" i="59"/>
  <c r="AE64" i="60"/>
  <c r="AF60" i="58"/>
  <c r="AE60" i="59"/>
  <c r="AE60" i="60"/>
  <c r="AF74" i="58"/>
  <c r="AE74" i="59"/>
  <c r="AE74" i="60"/>
  <c r="AF54" i="58"/>
  <c r="AE54" i="59"/>
  <c r="AE54" i="60"/>
  <c r="AF46" i="58"/>
  <c r="AE46" i="59"/>
  <c r="AE46" i="60"/>
  <c r="AF180" i="58"/>
  <c r="AF183" i="58"/>
  <c r="AF186" i="58"/>
  <c r="AF185" i="58"/>
  <c r="AE185" i="59"/>
  <c r="AE185" i="60"/>
  <c r="AF153" i="58"/>
  <c r="AE153" i="59"/>
  <c r="AE153" i="60"/>
  <c r="AF146" i="58"/>
  <c r="AE146" i="59"/>
  <c r="AE146" i="60"/>
  <c r="AF172" i="58"/>
  <c r="AE172" i="59"/>
  <c r="AE172" i="60"/>
  <c r="AF126" i="58"/>
  <c r="AE126" i="59"/>
  <c r="AE126" i="60"/>
  <c r="AF147" i="58"/>
  <c r="AE147" i="59"/>
  <c r="AE147" i="60"/>
  <c r="AF84" i="58"/>
  <c r="AF143" i="58"/>
  <c r="AE143" i="59"/>
  <c r="AE143" i="60"/>
  <c r="AF134" i="58"/>
  <c r="AF144" i="58"/>
  <c r="AE144" i="59"/>
  <c r="AE144" i="60"/>
  <c r="AF107" i="58"/>
  <c r="AE107" i="59"/>
  <c r="AE107" i="60"/>
  <c r="AF121" i="58"/>
  <c r="AE121" i="59"/>
  <c r="AF102" i="58"/>
  <c r="AE102" i="59"/>
  <c r="AE102" i="60"/>
  <c r="AF96" i="58"/>
  <c r="AE96" i="59"/>
  <c r="AE96" i="60"/>
  <c r="AF73" i="58"/>
  <c r="AE73" i="59"/>
  <c r="AE73" i="60"/>
  <c r="AF174" i="58"/>
  <c r="AE174" i="59"/>
  <c r="AE174" i="60"/>
  <c r="AF170" i="58"/>
  <c r="AE170" i="59"/>
  <c r="AE170" i="60"/>
  <c r="AF175" i="58"/>
  <c r="AF169" i="58"/>
  <c r="AE169" i="59"/>
  <c r="AE169" i="60"/>
  <c r="AF164" i="58"/>
  <c r="AE164" i="59"/>
  <c r="AE164" i="60"/>
  <c r="AF160" i="58"/>
  <c r="AE160" i="59"/>
  <c r="AE160" i="60"/>
  <c r="AF150" i="58"/>
  <c r="AE150" i="59"/>
  <c r="AE150" i="60"/>
  <c r="AF168" i="58"/>
  <c r="AE168" i="59"/>
  <c r="AE168" i="60"/>
  <c r="AF159" i="58"/>
  <c r="AE159" i="59"/>
  <c r="AE159" i="60"/>
  <c r="AF161" i="58"/>
  <c r="AE161" i="59"/>
  <c r="AE161" i="60"/>
  <c r="AF157" i="58"/>
  <c r="AE157" i="59"/>
  <c r="AE157" i="60"/>
  <c r="AF149" i="58"/>
  <c r="AE149" i="59"/>
  <c r="AE149" i="60"/>
  <c r="AF127" i="58"/>
  <c r="AE127" i="59"/>
  <c r="AE127" i="60"/>
  <c r="AF122" i="58"/>
  <c r="AE122" i="59"/>
  <c r="AE122" i="60"/>
  <c r="AF114" i="58"/>
  <c r="AE114" i="59"/>
  <c r="AE114" i="60"/>
  <c r="AF136" i="58"/>
  <c r="AE136" i="59"/>
  <c r="AE136" i="60"/>
  <c r="AF130" i="58"/>
  <c r="AE130" i="59"/>
  <c r="AE130" i="60"/>
  <c r="AF116" i="58"/>
  <c r="AE116" i="59"/>
  <c r="AE116" i="60"/>
  <c r="AF128" i="58"/>
  <c r="AE128" i="59"/>
  <c r="AE128" i="60"/>
  <c r="AF123" i="58"/>
  <c r="AE123" i="59"/>
  <c r="AE123" i="60"/>
  <c r="AF111" i="58"/>
  <c r="AE111" i="59"/>
  <c r="AE111" i="60"/>
  <c r="AF188" i="58"/>
  <c r="AE188" i="59"/>
  <c r="AE188" i="60"/>
  <c r="AF152" i="58"/>
  <c r="AE152" i="59"/>
  <c r="AE152" i="60"/>
  <c r="AF181" i="58"/>
  <c r="AF163" i="58"/>
  <c r="AE163" i="59"/>
  <c r="AE163" i="60"/>
  <c r="AF154" i="58"/>
  <c r="AE154" i="59"/>
  <c r="AE154" i="60"/>
  <c r="AF132" i="58"/>
  <c r="AE132" i="59"/>
  <c r="AE132" i="60"/>
  <c r="AF113" i="58"/>
  <c r="AE113" i="59"/>
  <c r="AE113" i="60"/>
  <c r="AF142" i="58"/>
  <c r="AE142" i="59"/>
  <c r="AE142" i="60"/>
  <c r="AF135" i="58"/>
  <c r="AE135" i="59"/>
  <c r="AE135" i="60"/>
  <c r="AF117" i="58"/>
  <c r="AE117" i="59"/>
  <c r="AE117" i="60"/>
  <c r="AF104" i="58"/>
  <c r="AF91" i="58"/>
  <c r="AE91" i="59"/>
  <c r="AE91" i="60"/>
  <c r="AF90" i="58"/>
  <c r="AE90" i="59"/>
  <c r="AE90" i="60"/>
  <c r="AF68" i="58"/>
  <c r="AE68" i="59"/>
  <c r="AE68" i="60"/>
  <c r="AF43" i="58"/>
  <c r="AE43" i="59"/>
  <c r="AE43" i="60"/>
  <c r="AF38" i="58"/>
  <c r="AE38" i="59"/>
  <c r="AE38" i="60"/>
  <c r="AF45" i="58"/>
  <c r="AE45" i="59"/>
  <c r="AE45" i="60"/>
  <c r="AF26" i="58"/>
  <c r="AE26" i="59"/>
  <c r="AE26" i="60"/>
  <c r="AF25" i="58"/>
  <c r="AE25" i="59"/>
  <c r="AE25" i="60"/>
  <c r="AF11" i="58"/>
  <c r="AE11" i="59"/>
  <c r="AE11" i="60"/>
  <c r="AF9" i="58"/>
  <c r="AE9" i="59"/>
  <c r="AE9" i="60"/>
  <c r="AF86" i="58"/>
  <c r="AE86" i="59"/>
  <c r="AE86" i="60"/>
  <c r="AF82" i="58"/>
  <c r="AE82" i="59"/>
  <c r="AE82" i="60"/>
  <c r="AF53" i="58"/>
  <c r="AE53" i="59"/>
  <c r="AE53" i="60"/>
  <c r="AF31" i="58"/>
  <c r="AE31" i="59"/>
  <c r="AE31" i="60"/>
  <c r="AF15" i="58"/>
  <c r="AE15" i="59"/>
  <c r="AE15" i="60"/>
  <c r="AF165" i="58"/>
  <c r="AF184" i="58"/>
  <c r="AF178" i="58"/>
  <c r="AF182" i="58"/>
  <c r="AF166" i="58"/>
  <c r="AE166" i="59"/>
  <c r="AE166" i="60"/>
  <c r="AF108" i="58"/>
  <c r="AE108" i="59"/>
  <c r="AE108" i="60"/>
  <c r="AF120" i="58"/>
  <c r="AE120" i="59"/>
  <c r="AE120" i="60"/>
  <c r="AF115" i="58"/>
  <c r="AE115" i="59"/>
  <c r="AE115" i="60"/>
  <c r="AF106" i="58"/>
  <c r="AE106" i="59"/>
  <c r="AE106" i="60"/>
  <c r="AF98" i="58"/>
  <c r="AE98" i="59"/>
  <c r="AE98" i="60"/>
  <c r="AF88" i="58"/>
  <c r="AE88" i="59"/>
  <c r="AE88" i="60"/>
  <c r="AF99" i="58"/>
  <c r="AE99" i="59"/>
  <c r="AE99" i="60"/>
  <c r="AF85" i="58"/>
  <c r="AE85" i="59"/>
  <c r="AE85" i="60"/>
  <c r="AF71" i="58"/>
  <c r="AE71" i="59"/>
  <c r="AE71" i="60"/>
  <c r="AF67" i="58"/>
  <c r="AE67" i="59"/>
  <c r="AE67" i="60"/>
  <c r="AF80" i="58"/>
  <c r="AE80" i="59"/>
  <c r="AE80" i="60"/>
  <c r="AF55" i="58"/>
  <c r="AE55" i="59"/>
  <c r="AE55" i="60"/>
  <c r="AF57" i="58"/>
  <c r="AE57" i="59"/>
  <c r="AE57" i="60"/>
  <c r="AF47" i="58"/>
  <c r="AE47" i="59"/>
  <c r="AE47" i="60"/>
  <c r="AF12" i="58"/>
  <c r="AE12" i="59"/>
  <c r="AE12" i="60"/>
  <c r="AF8" i="58"/>
  <c r="AE8" i="59"/>
  <c r="AE8" i="60"/>
  <c r="AF36" i="58"/>
  <c r="AE36" i="59"/>
  <c r="AE36" i="60"/>
  <c r="AF190" i="58"/>
  <c r="AE190" i="59"/>
  <c r="AE190" i="60"/>
  <c r="AF162" i="58"/>
  <c r="AE162" i="59"/>
  <c r="AE162" i="60"/>
  <c r="AF56" i="58"/>
  <c r="AE56" i="59"/>
  <c r="AE56" i="60"/>
  <c r="AF48" i="58"/>
  <c r="AE48" i="59"/>
  <c r="AE48" i="60"/>
  <c r="AF40" i="58"/>
  <c r="AE40" i="59"/>
  <c r="AE40" i="60"/>
  <c r="AF34" i="58"/>
  <c r="AE34" i="59"/>
  <c r="AE34" i="60"/>
  <c r="AF19" i="58"/>
  <c r="AE19" i="59"/>
  <c r="AE19" i="60"/>
  <c r="AF13" i="58"/>
  <c r="AE13" i="59"/>
  <c r="AE13" i="60"/>
  <c r="AF7" i="58"/>
  <c r="AE7" i="59"/>
  <c r="AE7" i="60"/>
  <c r="AF69" i="58"/>
  <c r="AE69" i="59"/>
  <c r="AE69" i="60"/>
  <c r="AF77" i="58"/>
  <c r="AE77" i="59"/>
  <c r="AE77" i="60"/>
  <c r="AF51" i="58"/>
  <c r="AE51" i="59"/>
  <c r="AE51" i="60"/>
  <c r="AF49" i="58"/>
  <c r="AE49" i="59"/>
  <c r="AE49" i="60"/>
  <c r="AF14" i="58"/>
  <c r="AE14" i="59"/>
  <c r="AE14" i="60"/>
  <c r="AF125" i="58"/>
  <c r="AE125" i="59"/>
  <c r="AE125" i="60"/>
  <c r="AF133" i="58"/>
  <c r="AE133" i="59"/>
  <c r="AE133" i="60"/>
  <c r="AF112" i="58"/>
  <c r="AE112" i="59"/>
  <c r="AE112" i="60"/>
  <c r="AF105" i="58"/>
  <c r="AE105" i="59"/>
  <c r="AE105" i="60"/>
  <c r="AF95" i="58"/>
  <c r="AE95" i="59"/>
  <c r="AE95" i="60"/>
  <c r="AF78" i="58"/>
  <c r="AE78" i="59"/>
  <c r="AE78" i="60"/>
  <c r="AF61" i="58"/>
  <c r="AE61" i="59"/>
  <c r="AE61" i="60"/>
  <c r="AF63" i="58"/>
  <c r="AE63" i="59"/>
  <c r="AE63" i="60"/>
  <c r="AF65" i="58"/>
  <c r="AE65" i="59"/>
  <c r="AE65" i="60"/>
  <c r="AF44" i="58"/>
  <c r="AE44" i="59"/>
  <c r="AE44" i="60"/>
  <c r="AF42" i="58"/>
  <c r="AF29" i="58"/>
  <c r="AE29" i="59"/>
  <c r="AE29" i="60"/>
  <c r="AF24" i="58"/>
  <c r="AE24" i="59"/>
  <c r="AE24" i="60"/>
  <c r="AF3" i="58"/>
  <c r="AF4" i="58"/>
  <c r="AE4" i="59"/>
  <c r="AE4" i="60"/>
  <c r="AF30" i="58"/>
  <c r="AE30" i="59"/>
  <c r="AE30" i="60"/>
  <c r="AF32" i="58"/>
  <c r="AE32" i="59"/>
  <c r="AE32" i="60"/>
  <c r="AF16" i="58"/>
  <c r="AE16" i="59"/>
  <c r="AE16" i="60"/>
  <c r="AF23" i="58"/>
  <c r="AE23" i="59"/>
  <c r="AE23" i="60"/>
  <c r="AF92" i="58"/>
  <c r="AE92" i="59"/>
  <c r="AE92" i="60"/>
  <c r="AF176" i="58"/>
  <c r="AF171" i="58"/>
  <c r="AF100" i="58"/>
  <c r="AE100" i="59"/>
  <c r="AE100" i="60"/>
  <c r="AF109" i="58"/>
  <c r="AF94" i="58"/>
  <c r="AE94" i="59"/>
  <c r="AE94" i="60"/>
  <c r="AF66" i="58"/>
  <c r="AF62" i="58"/>
  <c r="AE62" i="59"/>
  <c r="AE62" i="60"/>
  <c r="AF58" i="58"/>
  <c r="AE58" i="59"/>
  <c r="AE58" i="60"/>
  <c r="AF6" i="58"/>
  <c r="AE6" i="59"/>
  <c r="AE6" i="60"/>
  <c r="AF140" i="58"/>
  <c r="AE140" i="59"/>
  <c r="AE140" i="60"/>
  <c r="AF83" i="58"/>
  <c r="AE83" i="59"/>
  <c r="AE83" i="60"/>
  <c r="AF21" i="58"/>
  <c r="AE21" i="59"/>
  <c r="AE21" i="60"/>
  <c r="AF41" i="58"/>
  <c r="AE41" i="59"/>
  <c r="AE41" i="60"/>
  <c r="AF33" i="58"/>
  <c r="AE33" i="59"/>
  <c r="AE33" i="60"/>
  <c r="AF37" i="58"/>
  <c r="AE37" i="59"/>
  <c r="AE37" i="60"/>
  <c r="AF124" i="58"/>
  <c r="AE124" i="59"/>
  <c r="AE124" i="60"/>
  <c r="AF75" i="58"/>
  <c r="AE75" i="59"/>
  <c r="AE75" i="60"/>
  <c r="AF81" i="58"/>
  <c r="AE81" i="59"/>
  <c r="AE81" i="60"/>
  <c r="AF22" i="58"/>
  <c r="AE22" i="59"/>
  <c r="AE22" i="60"/>
  <c r="AF145" i="58"/>
  <c r="AE145" i="59"/>
  <c r="AE145" i="60"/>
  <c r="AF17" i="58"/>
  <c r="AF27" i="58"/>
  <c r="AE27" i="59"/>
  <c r="AE27" i="60"/>
  <c r="AF79" i="58"/>
  <c r="AE79" i="59"/>
  <c r="AE79" i="60"/>
  <c r="AF141" i="58"/>
  <c r="AE141" i="59"/>
  <c r="AE141" i="60"/>
  <c r="AF148" i="58"/>
  <c r="AE148" i="59"/>
  <c r="AE148" i="60"/>
  <c r="AF151" i="58"/>
  <c r="AE151" i="59"/>
  <c r="AE151" i="60"/>
  <c r="AF70" i="58"/>
  <c r="AE70" i="59"/>
  <c r="AE70" i="60"/>
  <c r="AF18" i="58"/>
  <c r="AE18" i="59"/>
  <c r="AE18" i="60"/>
  <c r="AF103" i="58"/>
  <c r="AE103" i="59"/>
  <c r="AE103" i="60"/>
  <c r="AF129" i="58"/>
  <c r="AE129" i="59"/>
  <c r="AE129" i="60"/>
  <c r="AF72" i="58"/>
  <c r="AE72" i="59"/>
  <c r="AE72" i="60"/>
  <c r="AC134" i="60"/>
  <c r="U41" i="56"/>
  <c r="U18" i="56"/>
  <c r="U6" i="55"/>
  <c r="U22" i="55"/>
  <c r="AD214" i="58"/>
  <c r="U21" i="56"/>
  <c r="AC171" i="60"/>
  <c r="U33" i="56"/>
  <c r="AA109" i="60"/>
  <c r="S40" i="56"/>
  <c r="AB109" i="59"/>
  <c r="T7" i="55"/>
  <c r="AD104" i="59"/>
  <c r="V14" i="56"/>
  <c r="AD177" i="59"/>
  <c r="AD177" i="60"/>
  <c r="AD363" i="59"/>
  <c r="AD181" i="59"/>
  <c r="AD181" i="60"/>
  <c r="AD367" i="59"/>
  <c r="W376" i="59"/>
  <c r="W375" i="59"/>
  <c r="W377" i="59"/>
  <c r="R21" i="55"/>
  <c r="Z196" i="59"/>
  <c r="S9" i="55"/>
  <c r="AC165" i="60"/>
  <c r="U31" i="56"/>
  <c r="U4" i="55"/>
  <c r="U19" i="56"/>
  <c r="AB194" i="60"/>
  <c r="AD42" i="59"/>
  <c r="V11" i="56"/>
  <c r="AD178" i="59"/>
  <c r="AD178" i="60"/>
  <c r="AD364" i="59"/>
  <c r="AD176" i="59"/>
  <c r="AD176" i="60"/>
  <c r="AD362" i="59"/>
  <c r="V5" i="55"/>
  <c r="V20" i="56"/>
  <c r="AE209" i="58"/>
  <c r="AE210" i="58"/>
  <c r="AE211" i="58"/>
  <c r="AD175" i="59"/>
  <c r="V16" i="56"/>
  <c r="AC175" i="60"/>
  <c r="U42" i="56"/>
  <c r="Z193" i="60"/>
  <c r="Z195" i="60"/>
  <c r="AD203" i="58"/>
  <c r="AC17" i="60"/>
  <c r="U35" i="56"/>
  <c r="AC104" i="60"/>
  <c r="AC186" i="60"/>
  <c r="U32" i="56"/>
  <c r="T25" i="56"/>
  <c r="AB216" i="58"/>
  <c r="AC213" i="58"/>
  <c r="AD17" i="59"/>
  <c r="V9" i="56"/>
  <c r="AE196" i="58"/>
  <c r="AE194" i="58"/>
  <c r="AE200" i="58"/>
  <c r="AE202" i="58"/>
  <c r="AE193" i="58"/>
  <c r="AE201" i="58"/>
  <c r="AE199" i="58"/>
  <c r="V10" i="56"/>
  <c r="V4" i="56"/>
  <c r="AE207" i="58"/>
  <c r="AD165" i="59"/>
  <c r="V5" i="56"/>
  <c r="AD66" i="59"/>
  <c r="V12" i="56"/>
  <c r="AD134" i="59"/>
  <c r="V15" i="56"/>
  <c r="AD84" i="59"/>
  <c r="V13" i="56"/>
  <c r="AD186" i="59"/>
  <c r="V6" i="56"/>
  <c r="AA193" i="59"/>
  <c r="AA3" i="60"/>
  <c r="S30" i="56"/>
  <c r="S36" i="56"/>
  <c r="S44" i="56"/>
  <c r="S47" i="56"/>
  <c r="AB3" i="59"/>
  <c r="AC84" i="60"/>
  <c r="U39" i="56"/>
  <c r="Y197" i="59"/>
  <c r="Y198" i="59"/>
  <c r="AD10" i="59"/>
  <c r="V8" i="56"/>
  <c r="AD183" i="59"/>
  <c r="AD183" i="60"/>
  <c r="AD369" i="59"/>
  <c r="AA121" i="60"/>
  <c r="AB121" i="59"/>
  <c r="X376" i="59"/>
  <c r="X375" i="59"/>
  <c r="X377" i="59"/>
  <c r="V8" i="55"/>
  <c r="AC42" i="60"/>
  <c r="U37" i="56"/>
  <c r="Q23" i="55"/>
  <c r="V28" i="55"/>
  <c r="AC10" i="60"/>
  <c r="U34" i="56"/>
  <c r="U23" i="56"/>
  <c r="Y372" i="59"/>
  <c r="Y376" i="59"/>
  <c r="R49" i="56"/>
  <c r="AC216" i="58"/>
  <c r="AD213" i="58"/>
  <c r="AG221" i="58"/>
  <c r="AH218" i="58"/>
  <c r="AB3" i="60"/>
  <c r="AC3" i="59"/>
  <c r="AD186" i="60"/>
  <c r="V32" i="56"/>
  <c r="AD66" i="60"/>
  <c r="V38" i="56"/>
  <c r="AE203" i="58"/>
  <c r="AE214" i="58"/>
  <c r="V6" i="55"/>
  <c r="V22" i="55"/>
  <c r="V21" i="56"/>
  <c r="AD175" i="60"/>
  <c r="V42" i="56"/>
  <c r="AE165" i="59"/>
  <c r="W5" i="56"/>
  <c r="AE181" i="59"/>
  <c r="AE181" i="60"/>
  <c r="AE367" i="59"/>
  <c r="AE134" i="59"/>
  <c r="W15" i="56"/>
  <c r="AE177" i="59"/>
  <c r="AE177" i="60"/>
  <c r="AE363" i="59"/>
  <c r="AH1" i="58"/>
  <c r="AF1" i="59"/>
  <c r="AG4" i="58"/>
  <c r="AF4" i="59"/>
  <c r="AF4" i="60"/>
  <c r="AG14" i="58"/>
  <c r="AF14" i="59"/>
  <c r="AF14" i="60"/>
  <c r="AG29" i="58"/>
  <c r="AF29" i="59"/>
  <c r="AF29" i="60"/>
  <c r="AG32" i="58"/>
  <c r="AF32" i="59"/>
  <c r="AF32" i="60"/>
  <c r="AG23" i="58"/>
  <c r="AF23" i="59"/>
  <c r="AF23" i="60"/>
  <c r="AG25" i="58"/>
  <c r="AF25" i="59"/>
  <c r="AF25" i="60"/>
  <c r="AG31" i="58"/>
  <c r="AF31" i="59"/>
  <c r="AF31" i="60"/>
  <c r="AG35" i="58"/>
  <c r="AF35" i="59"/>
  <c r="AF35" i="60"/>
  <c r="AG36" i="58"/>
  <c r="AF36" i="59"/>
  <c r="AF36" i="60"/>
  <c r="AG57" i="58"/>
  <c r="AF57" i="59"/>
  <c r="AF57" i="60"/>
  <c r="AG74" i="58"/>
  <c r="AF74" i="59"/>
  <c r="AF74" i="60"/>
  <c r="AG77" i="58"/>
  <c r="AF77" i="59"/>
  <c r="AF77" i="60"/>
  <c r="AG80" i="58"/>
  <c r="AF80" i="59"/>
  <c r="AF80" i="60"/>
  <c r="AG93" i="58"/>
  <c r="AF93" i="59"/>
  <c r="AF93" i="60"/>
  <c r="AG96" i="58"/>
  <c r="AF96" i="59"/>
  <c r="AF96" i="60"/>
  <c r="AG107" i="58"/>
  <c r="AF107" i="59"/>
  <c r="AF107" i="60"/>
  <c r="AG123" i="58"/>
  <c r="AF123" i="59"/>
  <c r="AF123" i="60"/>
  <c r="AG102" i="58"/>
  <c r="AF102" i="59"/>
  <c r="AF102" i="60"/>
  <c r="AG87" i="58"/>
  <c r="AF87" i="59"/>
  <c r="AF87" i="60"/>
  <c r="AG142" i="58"/>
  <c r="AF142" i="59"/>
  <c r="AF142" i="60"/>
  <c r="AG135" i="58"/>
  <c r="AF135" i="59"/>
  <c r="AF135" i="60"/>
  <c r="AG132" i="58"/>
  <c r="AF132" i="59"/>
  <c r="AF132" i="60"/>
  <c r="AG159" i="58"/>
  <c r="AF159" i="59"/>
  <c r="AF159" i="60"/>
  <c r="AG156" i="58"/>
  <c r="AF156" i="59"/>
  <c r="AF156" i="60"/>
  <c r="AG168" i="58"/>
  <c r="AF168" i="59"/>
  <c r="AF168" i="60"/>
  <c r="AG162" i="58"/>
  <c r="AF162" i="59"/>
  <c r="AF162" i="60"/>
  <c r="AG177" i="58"/>
  <c r="AG183" i="58"/>
  <c r="AG180" i="58"/>
  <c r="AG195" i="58"/>
  <c r="AG170" i="58"/>
  <c r="AF170" i="59"/>
  <c r="AF170" i="60"/>
  <c r="AG174" i="58"/>
  <c r="AF174" i="59"/>
  <c r="AF174" i="60"/>
  <c r="AG153" i="58"/>
  <c r="AF153" i="59"/>
  <c r="AF153" i="60"/>
  <c r="AG188" i="58"/>
  <c r="AF188" i="59"/>
  <c r="AF188" i="60"/>
  <c r="AG229" i="58"/>
  <c r="AG226" i="58"/>
  <c r="AG228" i="58"/>
  <c r="AF1" i="60"/>
  <c r="AG117" i="58"/>
  <c r="AF117" i="59"/>
  <c r="AF117" i="60"/>
  <c r="AG189" i="58"/>
  <c r="AF189" i="59"/>
  <c r="AF189" i="60"/>
  <c r="AG171" i="58"/>
  <c r="AG158" i="58"/>
  <c r="AF158" i="59"/>
  <c r="AF158" i="60"/>
  <c r="AG161" i="58"/>
  <c r="AF161" i="59"/>
  <c r="AF161" i="60"/>
  <c r="AG149" i="58"/>
  <c r="AF149" i="59"/>
  <c r="AF149" i="60"/>
  <c r="AG122" i="58"/>
  <c r="AF122" i="59"/>
  <c r="AF122" i="60"/>
  <c r="AG130" i="58"/>
  <c r="AF130" i="59"/>
  <c r="AF130" i="60"/>
  <c r="AG120" i="58"/>
  <c r="AF120" i="59"/>
  <c r="AF120" i="60"/>
  <c r="AG115" i="58"/>
  <c r="AF115" i="59"/>
  <c r="AF115" i="60"/>
  <c r="AG97" i="58"/>
  <c r="AF97" i="59"/>
  <c r="AF97" i="60"/>
  <c r="AG68" i="58"/>
  <c r="AF68" i="59"/>
  <c r="AF68" i="60"/>
  <c r="AG65" i="58"/>
  <c r="AF65" i="59"/>
  <c r="AF65" i="60"/>
  <c r="AG52" i="58"/>
  <c r="AF52" i="59"/>
  <c r="AF52" i="60"/>
  <c r="AG55" i="58"/>
  <c r="AF55" i="59"/>
  <c r="AF55" i="60"/>
  <c r="AG48" i="58"/>
  <c r="AF48" i="59"/>
  <c r="AF48" i="60"/>
  <c r="AG49" i="58"/>
  <c r="AF49" i="59"/>
  <c r="AF49" i="60"/>
  <c r="AG165" i="58"/>
  <c r="AG150" i="58"/>
  <c r="AF150" i="59"/>
  <c r="AF150" i="60"/>
  <c r="AG164" i="58"/>
  <c r="AF164" i="59"/>
  <c r="AF164" i="60"/>
  <c r="AG155" i="58"/>
  <c r="AF155" i="59"/>
  <c r="AF155" i="60"/>
  <c r="AG125" i="58"/>
  <c r="AF125" i="59"/>
  <c r="AF125" i="60"/>
  <c r="AG116" i="58"/>
  <c r="AF116" i="59"/>
  <c r="AF116" i="60"/>
  <c r="AG112" i="58"/>
  <c r="AF112" i="59"/>
  <c r="AF112" i="60"/>
  <c r="AG101" i="58"/>
  <c r="AF101" i="59"/>
  <c r="AF101" i="60"/>
  <c r="AG51" i="58"/>
  <c r="AF51" i="59"/>
  <c r="AF51" i="60"/>
  <c r="AG78" i="58"/>
  <c r="AF78" i="59"/>
  <c r="AF78" i="60"/>
  <c r="AG66" i="58"/>
  <c r="AG69" i="58"/>
  <c r="AF69" i="59"/>
  <c r="AF69" i="60"/>
  <c r="AG62" i="58"/>
  <c r="AF62" i="59"/>
  <c r="AF62" i="60"/>
  <c r="AG61" i="58"/>
  <c r="AF61" i="59"/>
  <c r="AF61" i="60"/>
  <c r="AG191" i="58"/>
  <c r="AF191" i="59"/>
  <c r="AF191" i="60"/>
  <c r="AG173" i="58"/>
  <c r="AF173" i="59"/>
  <c r="AF173" i="60"/>
  <c r="AG190" i="58"/>
  <c r="AF190" i="59"/>
  <c r="AF190" i="60"/>
  <c r="AG176" i="58"/>
  <c r="AG187" i="58"/>
  <c r="AF187" i="59"/>
  <c r="AF187" i="60"/>
  <c r="AG179" i="58"/>
  <c r="AG175" i="58"/>
  <c r="AG166" i="58"/>
  <c r="AF166" i="59"/>
  <c r="AF166" i="60"/>
  <c r="AG160" i="58"/>
  <c r="AF160" i="59"/>
  <c r="AF160" i="60"/>
  <c r="AG172" i="58"/>
  <c r="AF172" i="59"/>
  <c r="AF172" i="60"/>
  <c r="AG126" i="58"/>
  <c r="AF126" i="59"/>
  <c r="AF126" i="60"/>
  <c r="AG157" i="58"/>
  <c r="AF157" i="59"/>
  <c r="AF157" i="60"/>
  <c r="AG84" i="58"/>
  <c r="AG136" i="58"/>
  <c r="AF136" i="59"/>
  <c r="AF136" i="60"/>
  <c r="AG118" i="58"/>
  <c r="AF118" i="59"/>
  <c r="AF118" i="60"/>
  <c r="AG110" i="58"/>
  <c r="AF110" i="59"/>
  <c r="AF110" i="60"/>
  <c r="AG104" i="58"/>
  <c r="AG105" i="58"/>
  <c r="AF105" i="59"/>
  <c r="AF105" i="60"/>
  <c r="AG128" i="58"/>
  <c r="AF128" i="59"/>
  <c r="AF128" i="60"/>
  <c r="AG119" i="58"/>
  <c r="AF119" i="59"/>
  <c r="AF119" i="60"/>
  <c r="AG152" i="58"/>
  <c r="AF152" i="59"/>
  <c r="AF152" i="60"/>
  <c r="AG182" i="58"/>
  <c r="AG181" i="58"/>
  <c r="AG167" i="58"/>
  <c r="AF167" i="59"/>
  <c r="AF167" i="60"/>
  <c r="AG154" i="58"/>
  <c r="AF154" i="59"/>
  <c r="AF154" i="60"/>
  <c r="AG138" i="58"/>
  <c r="AF138" i="59"/>
  <c r="AF138" i="60"/>
  <c r="AG127" i="58"/>
  <c r="AF127" i="59"/>
  <c r="AF127" i="60"/>
  <c r="AG139" i="58"/>
  <c r="AF139" i="59"/>
  <c r="AF139" i="60"/>
  <c r="AG186" i="58"/>
  <c r="AG147" i="58"/>
  <c r="AF147" i="59"/>
  <c r="AF147" i="60"/>
  <c r="AG137" i="58"/>
  <c r="AF137" i="59"/>
  <c r="AF137" i="60"/>
  <c r="AG131" i="58"/>
  <c r="AF131" i="59"/>
  <c r="AF131" i="60"/>
  <c r="AG63" i="58"/>
  <c r="AF63" i="59"/>
  <c r="AF63" i="60"/>
  <c r="AG54" i="58"/>
  <c r="AF54" i="59"/>
  <c r="AF54" i="60"/>
  <c r="AG47" i="58"/>
  <c r="AF47" i="59"/>
  <c r="AF47" i="60"/>
  <c r="AG44" i="58"/>
  <c r="AF44" i="59"/>
  <c r="AF44" i="60"/>
  <c r="AG10" i="58"/>
  <c r="AG5" i="58"/>
  <c r="AF5" i="59"/>
  <c r="AG146" i="58"/>
  <c r="AF146" i="59"/>
  <c r="AF146" i="60"/>
  <c r="AG106" i="58"/>
  <c r="AF106" i="59"/>
  <c r="AF106" i="60"/>
  <c r="AG92" i="58"/>
  <c r="AF92" i="59"/>
  <c r="AF92" i="60"/>
  <c r="AG184" i="58"/>
  <c r="AG178" i="58"/>
  <c r="AG185" i="58"/>
  <c r="AF185" i="59"/>
  <c r="AF185" i="60"/>
  <c r="AG108" i="58"/>
  <c r="AF108" i="59"/>
  <c r="AF108" i="60"/>
  <c r="AG121" i="58"/>
  <c r="AF121" i="59"/>
  <c r="AG90" i="58"/>
  <c r="AF90" i="59"/>
  <c r="AF90" i="60"/>
  <c r="AG56" i="58"/>
  <c r="AF56" i="59"/>
  <c r="AF56" i="60"/>
  <c r="AG42" i="58"/>
  <c r="AG13" i="58"/>
  <c r="AF13" i="59"/>
  <c r="AF13" i="60"/>
  <c r="AG8" i="58"/>
  <c r="AF8" i="59"/>
  <c r="AF8" i="60"/>
  <c r="AG140" i="58"/>
  <c r="AF140" i="59"/>
  <c r="AF140" i="60"/>
  <c r="AG98" i="58"/>
  <c r="AF98" i="59"/>
  <c r="AF98" i="60"/>
  <c r="AG86" i="58"/>
  <c r="AF86" i="59"/>
  <c r="AF86" i="60"/>
  <c r="AG30" i="58"/>
  <c r="AF30" i="59"/>
  <c r="AF30" i="60"/>
  <c r="AG28" i="58"/>
  <c r="AF28" i="59"/>
  <c r="AF28" i="60"/>
  <c r="AG169" i="58"/>
  <c r="AF169" i="59"/>
  <c r="AF169" i="60"/>
  <c r="AG134" i="58"/>
  <c r="AG111" i="58"/>
  <c r="AF111" i="59"/>
  <c r="AF111" i="60"/>
  <c r="AG89" i="58"/>
  <c r="AF89" i="59"/>
  <c r="AF89" i="60"/>
  <c r="AG73" i="58"/>
  <c r="AF73" i="59"/>
  <c r="AF73" i="60"/>
  <c r="AG109" i="58"/>
  <c r="AG99" i="58"/>
  <c r="AF99" i="59"/>
  <c r="AF99" i="60"/>
  <c r="AG83" i="58"/>
  <c r="AF83" i="59"/>
  <c r="AF83" i="60"/>
  <c r="AG85" i="58"/>
  <c r="AF85" i="59"/>
  <c r="AF85" i="60"/>
  <c r="AG64" i="58"/>
  <c r="AF64" i="59"/>
  <c r="AF64" i="60"/>
  <c r="AG38" i="58"/>
  <c r="AF38" i="59"/>
  <c r="AF38" i="60"/>
  <c r="AG45" i="58"/>
  <c r="AF45" i="59"/>
  <c r="AF45" i="60"/>
  <c r="AG40" i="58"/>
  <c r="AF40" i="59"/>
  <c r="AF40" i="60"/>
  <c r="AG15" i="58"/>
  <c r="AF15" i="59"/>
  <c r="AF15" i="60"/>
  <c r="AG12" i="58"/>
  <c r="AF12" i="59"/>
  <c r="AF12" i="60"/>
  <c r="AG71" i="58"/>
  <c r="AF71" i="59"/>
  <c r="AF71" i="60"/>
  <c r="AG46" i="58"/>
  <c r="AF46" i="59"/>
  <c r="AF46" i="60"/>
  <c r="AG113" i="58"/>
  <c r="AF113" i="59"/>
  <c r="AF113" i="60"/>
  <c r="AG114" i="58"/>
  <c r="AF114" i="59"/>
  <c r="AF114" i="60"/>
  <c r="AG144" i="58"/>
  <c r="AF144" i="59"/>
  <c r="AF144" i="60"/>
  <c r="AG88" i="58"/>
  <c r="AF88" i="59"/>
  <c r="AF88" i="60"/>
  <c r="AG59" i="58"/>
  <c r="AF59" i="59"/>
  <c r="AF59" i="60"/>
  <c r="AG58" i="58"/>
  <c r="AF58" i="59"/>
  <c r="AF58" i="60"/>
  <c r="AG60" i="58"/>
  <c r="AF60" i="59"/>
  <c r="AF60" i="60"/>
  <c r="AG26" i="58"/>
  <c r="AF26" i="59"/>
  <c r="AF26" i="60"/>
  <c r="AG39" i="58"/>
  <c r="AF39" i="59"/>
  <c r="AF39" i="60"/>
  <c r="AG34" i="58"/>
  <c r="AF34" i="59"/>
  <c r="AF34" i="60"/>
  <c r="AG24" i="58"/>
  <c r="AF24" i="59"/>
  <c r="AF24" i="60"/>
  <c r="AG21" i="58"/>
  <c r="AF21" i="59"/>
  <c r="AF21" i="60"/>
  <c r="AG16" i="58"/>
  <c r="AF16" i="59"/>
  <c r="AF16" i="60"/>
  <c r="AG20" i="58"/>
  <c r="AF20" i="59"/>
  <c r="AF20" i="60"/>
  <c r="AG6" i="58"/>
  <c r="AF6" i="59"/>
  <c r="AF6" i="60"/>
  <c r="AG11" i="58"/>
  <c r="AF11" i="59"/>
  <c r="AF11" i="60"/>
  <c r="AG7" i="58"/>
  <c r="AF7" i="59"/>
  <c r="AF7" i="60"/>
  <c r="AG3" i="58"/>
  <c r="AG9" i="58"/>
  <c r="AF9" i="59"/>
  <c r="AF9" i="60"/>
  <c r="AG143" i="58"/>
  <c r="AF143" i="59"/>
  <c r="AF143" i="60"/>
  <c r="AG133" i="58"/>
  <c r="AF133" i="59"/>
  <c r="AF133" i="60"/>
  <c r="AG100" i="58"/>
  <c r="AF100" i="59"/>
  <c r="AF100" i="60"/>
  <c r="AG91" i="58"/>
  <c r="AF91" i="59"/>
  <c r="AF91" i="60"/>
  <c r="AG53" i="58"/>
  <c r="AF53" i="59"/>
  <c r="AF53" i="60"/>
  <c r="AG43" i="58"/>
  <c r="AF43" i="59"/>
  <c r="AF43" i="60"/>
  <c r="AG19" i="58"/>
  <c r="AF19" i="59"/>
  <c r="AF19" i="60"/>
  <c r="AG163" i="58"/>
  <c r="AF163" i="59"/>
  <c r="AF163" i="60"/>
  <c r="AG76" i="58"/>
  <c r="AF76" i="59"/>
  <c r="AF76" i="60"/>
  <c r="AG95" i="58"/>
  <c r="AF95" i="59"/>
  <c r="AF95" i="60"/>
  <c r="AG94" i="58"/>
  <c r="AF94" i="59"/>
  <c r="AF94" i="60"/>
  <c r="AG82" i="58"/>
  <c r="AF82" i="59"/>
  <c r="AF82" i="60"/>
  <c r="AG67" i="58"/>
  <c r="AF67" i="59"/>
  <c r="AF67" i="60"/>
  <c r="AG50" i="58"/>
  <c r="AF50" i="59"/>
  <c r="AF50" i="60"/>
  <c r="AG75" i="58"/>
  <c r="AF75" i="59"/>
  <c r="AF75" i="60"/>
  <c r="AG70" i="58"/>
  <c r="AF70" i="59"/>
  <c r="AF70" i="60"/>
  <c r="AG72" i="58"/>
  <c r="AF72" i="59"/>
  <c r="AF72" i="60"/>
  <c r="AG37" i="58"/>
  <c r="AF37" i="59"/>
  <c r="AF37" i="60"/>
  <c r="AG27" i="58"/>
  <c r="AF27" i="59"/>
  <c r="AF27" i="60"/>
  <c r="AG79" i="58"/>
  <c r="AF79" i="59"/>
  <c r="AF79" i="60"/>
  <c r="AG18" i="58"/>
  <c r="AF18" i="59"/>
  <c r="AF18" i="60"/>
  <c r="AG145" i="58"/>
  <c r="AF145" i="59"/>
  <c r="AF145" i="60"/>
  <c r="AG17" i="58"/>
  <c r="AG124" i="58"/>
  <c r="AF124" i="59"/>
  <c r="AF124" i="60"/>
  <c r="AG41" i="58"/>
  <c r="AF41" i="59"/>
  <c r="AF41" i="60"/>
  <c r="AG141" i="58"/>
  <c r="AF141" i="59"/>
  <c r="AF141" i="60"/>
  <c r="AG151" i="58"/>
  <c r="AF151" i="59"/>
  <c r="AF151" i="60"/>
  <c r="AG129" i="58"/>
  <c r="AF129" i="59"/>
  <c r="AF129" i="60"/>
  <c r="AG148" i="58"/>
  <c r="AF148" i="59"/>
  <c r="AF148" i="60"/>
  <c r="AG103" i="58"/>
  <c r="AF103" i="59"/>
  <c r="AF103" i="60"/>
  <c r="AG81" i="58"/>
  <c r="AF81" i="59"/>
  <c r="AF81" i="60"/>
  <c r="AG22" i="58"/>
  <c r="AF22" i="59"/>
  <c r="AF22" i="60"/>
  <c r="AG33" i="58"/>
  <c r="AF33" i="59"/>
  <c r="AF33" i="60"/>
  <c r="AA5" i="60"/>
  <c r="AA193" i="60"/>
  <c r="AA195" i="60"/>
  <c r="AB5" i="59"/>
  <c r="V18" i="56"/>
  <c r="V25" i="56"/>
  <c r="W5" i="55"/>
  <c r="W20" i="56"/>
  <c r="AF209" i="58"/>
  <c r="AF210" i="58"/>
  <c r="AF211" i="58"/>
  <c r="R11" i="55"/>
  <c r="R13" i="55"/>
  <c r="Q16" i="55"/>
  <c r="Q15" i="55"/>
  <c r="Q14" i="55"/>
  <c r="S49" i="56"/>
  <c r="AD84" i="60"/>
  <c r="V39" i="56"/>
  <c r="AD165" i="60"/>
  <c r="V31" i="56"/>
  <c r="V3" i="55"/>
  <c r="AE198" i="58"/>
  <c r="AE205" i="58"/>
  <c r="AA26" i="55"/>
  <c r="AA27" i="55"/>
  <c r="Z196" i="60"/>
  <c r="R18" i="55"/>
  <c r="R19" i="55"/>
  <c r="AE17" i="59"/>
  <c r="W9" i="56"/>
  <c r="AE42" i="59"/>
  <c r="W11" i="56"/>
  <c r="AE84" i="59"/>
  <c r="W13" i="56"/>
  <c r="AE179" i="59"/>
  <c r="AE179" i="60"/>
  <c r="AE365" i="59"/>
  <c r="U7" i="55"/>
  <c r="AD17" i="60"/>
  <c r="V35" i="56"/>
  <c r="AD42" i="60"/>
  <c r="V37" i="56"/>
  <c r="AD104" i="60"/>
  <c r="AE171" i="59"/>
  <c r="W7" i="56"/>
  <c r="AE182" i="59"/>
  <c r="AE182" i="60"/>
  <c r="AE368" i="59"/>
  <c r="AE175" i="59"/>
  <c r="W16" i="56"/>
  <c r="AE186" i="59"/>
  <c r="W6" i="56"/>
  <c r="U25" i="56"/>
  <c r="AD171" i="60"/>
  <c r="V33" i="56"/>
  <c r="W8" i="55"/>
  <c r="AD10" i="60"/>
  <c r="V34" i="56"/>
  <c r="S21" i="55"/>
  <c r="AA196" i="59"/>
  <c r="AD134" i="60"/>
  <c r="V41" i="56"/>
  <c r="Z197" i="59"/>
  <c r="Z198" i="59"/>
  <c r="T9" i="55"/>
  <c r="AE176" i="59"/>
  <c r="AE176" i="60"/>
  <c r="AE362" i="59"/>
  <c r="AE178" i="59"/>
  <c r="AE178" i="60"/>
  <c r="AE364" i="59"/>
  <c r="AE104" i="59"/>
  <c r="W14" i="56"/>
  <c r="AE183" i="59"/>
  <c r="AE183" i="60"/>
  <c r="AE369" i="59"/>
  <c r="AB121" i="60"/>
  <c r="AC121" i="59"/>
  <c r="V4" i="55"/>
  <c r="V19" i="56"/>
  <c r="AC194" i="60"/>
  <c r="R23" i="55"/>
  <c r="W28" i="55"/>
  <c r="AB109" i="60"/>
  <c r="AC109" i="59"/>
  <c r="T40" i="56"/>
  <c r="AE66" i="59"/>
  <c r="W12" i="56"/>
  <c r="AF196" i="58"/>
  <c r="AF193" i="58"/>
  <c r="AF199" i="58"/>
  <c r="AF200" i="58"/>
  <c r="AF194" i="58"/>
  <c r="AF202" i="58"/>
  <c r="AF201" i="58"/>
  <c r="W10" i="56"/>
  <c r="AF207" i="58"/>
  <c r="W4" i="56"/>
  <c r="AE184" i="59"/>
  <c r="AE184" i="60"/>
  <c r="AE370" i="59"/>
  <c r="AE180" i="59"/>
  <c r="AE180" i="60"/>
  <c r="AE366" i="59"/>
  <c r="AE10" i="59"/>
  <c r="W8" i="56"/>
  <c r="Z372" i="59"/>
  <c r="Z376" i="59"/>
  <c r="Y375" i="59"/>
  <c r="Y377" i="59"/>
  <c r="AB5" i="60"/>
  <c r="AC5" i="60"/>
  <c r="AD5" i="60"/>
  <c r="AE5" i="60"/>
  <c r="S18" i="55"/>
  <c r="S19" i="55"/>
  <c r="AA196" i="60"/>
  <c r="AH221" i="58"/>
  <c r="AI218" i="58"/>
  <c r="AF214" i="58"/>
  <c r="W6" i="55"/>
  <c r="W22" i="55"/>
  <c r="W21" i="56"/>
  <c r="AA197" i="59"/>
  <c r="AA372" i="59"/>
  <c r="AA198" i="59"/>
  <c r="U9" i="55"/>
  <c r="AE42" i="60"/>
  <c r="W37" i="56"/>
  <c r="V7" i="55"/>
  <c r="AF186" i="59"/>
  <c r="X6" i="56"/>
  <c r="AF181" i="59"/>
  <c r="AF181" i="60"/>
  <c r="AF367" i="59"/>
  <c r="AF104" i="59"/>
  <c r="X14" i="56"/>
  <c r="AF165" i="59"/>
  <c r="X5" i="56"/>
  <c r="S23" i="55"/>
  <c r="X28" i="55"/>
  <c r="AE175" i="60"/>
  <c r="W42" i="56"/>
  <c r="AF134" i="59"/>
  <c r="X15" i="56"/>
  <c r="AF182" i="59"/>
  <c r="AF182" i="60"/>
  <c r="AF368" i="59"/>
  <c r="AF176" i="59"/>
  <c r="AF176" i="60"/>
  <c r="AF362" i="59"/>
  <c r="AE134" i="60"/>
  <c r="W41" i="56"/>
  <c r="T30" i="56"/>
  <c r="AE17" i="60"/>
  <c r="W35" i="56"/>
  <c r="AF66" i="59"/>
  <c r="X12" i="56"/>
  <c r="X5" i="55"/>
  <c r="AG209" i="58"/>
  <c r="AG210" i="58"/>
  <c r="AG211" i="58"/>
  <c r="X20" i="56"/>
  <c r="T36" i="56"/>
  <c r="T44" i="56"/>
  <c r="T47" i="56"/>
  <c r="AE66" i="60"/>
  <c r="W38" i="56"/>
  <c r="R16" i="55"/>
  <c r="R15" i="55"/>
  <c r="R14" i="55"/>
  <c r="V23" i="56"/>
  <c r="AF5" i="60"/>
  <c r="AF171" i="59"/>
  <c r="X7" i="56"/>
  <c r="AF180" i="59"/>
  <c r="AF180" i="60"/>
  <c r="AF366" i="59"/>
  <c r="AG1" i="59"/>
  <c r="AI1" i="58"/>
  <c r="AH5" i="58"/>
  <c r="AG5" i="59"/>
  <c r="AG5" i="60"/>
  <c r="AH9" i="58"/>
  <c r="AG9" i="59"/>
  <c r="AG9" i="60"/>
  <c r="AH10" i="58"/>
  <c r="AH21" i="58"/>
  <c r="AG21" i="59"/>
  <c r="AG21" i="60"/>
  <c r="AH32" i="58"/>
  <c r="AG32" i="59"/>
  <c r="AG32" i="60"/>
  <c r="AH36" i="58"/>
  <c r="AG36" i="59"/>
  <c r="AG36" i="60"/>
  <c r="AH29" i="58"/>
  <c r="AG29" i="59"/>
  <c r="AG29" i="60"/>
  <c r="AH57" i="58"/>
  <c r="AG57" i="59"/>
  <c r="AG57" i="60"/>
  <c r="AH48" i="58"/>
  <c r="AG48" i="59"/>
  <c r="AG48" i="60"/>
  <c r="AH52" i="58"/>
  <c r="AG52" i="59"/>
  <c r="AG52" i="60"/>
  <c r="AH74" i="58"/>
  <c r="AG74" i="59"/>
  <c r="AG74" i="60"/>
  <c r="AH55" i="58"/>
  <c r="AG55" i="59"/>
  <c r="AG55" i="60"/>
  <c r="AH83" i="58"/>
  <c r="AG83" i="59"/>
  <c r="AG83" i="60"/>
  <c r="AH123" i="58"/>
  <c r="AG123" i="59"/>
  <c r="AG123" i="60"/>
  <c r="AH121" i="58"/>
  <c r="AG121" i="59"/>
  <c r="AH130" i="58"/>
  <c r="AG130" i="59"/>
  <c r="AG130" i="60"/>
  <c r="AH136" i="58"/>
  <c r="AG136" i="59"/>
  <c r="AG136" i="60"/>
  <c r="AH143" i="58"/>
  <c r="AG143" i="59"/>
  <c r="AG143" i="60"/>
  <c r="AH133" i="58"/>
  <c r="AG133" i="59"/>
  <c r="AG133" i="60"/>
  <c r="AH157" i="58"/>
  <c r="AG157" i="59"/>
  <c r="AG157" i="60"/>
  <c r="AH162" i="58"/>
  <c r="AG162" i="59"/>
  <c r="AG162" i="60"/>
  <c r="AH150" i="58"/>
  <c r="AG150" i="59"/>
  <c r="AG150" i="60"/>
  <c r="AH185" i="58"/>
  <c r="AG185" i="59"/>
  <c r="AG185" i="60"/>
  <c r="AH186" i="58"/>
  <c r="AH154" i="58"/>
  <c r="AG154" i="59"/>
  <c r="AG154" i="60"/>
  <c r="AH166" i="58"/>
  <c r="AG166" i="59"/>
  <c r="AG166" i="60"/>
  <c r="AH195" i="58"/>
  <c r="AH229" i="58"/>
  <c r="AH226" i="58"/>
  <c r="AH228" i="58"/>
  <c r="AG1" i="60"/>
  <c r="AH180" i="58"/>
  <c r="AH183" i="58"/>
  <c r="AH175" i="58"/>
  <c r="AH153" i="58"/>
  <c r="AG153" i="59"/>
  <c r="AG153" i="60"/>
  <c r="AH167" i="58"/>
  <c r="AG167" i="59"/>
  <c r="AG167" i="60"/>
  <c r="AH164" i="58"/>
  <c r="AG164" i="59"/>
  <c r="AG164" i="60"/>
  <c r="AH84" i="58"/>
  <c r="AH114" i="58"/>
  <c r="AG114" i="59"/>
  <c r="AG114" i="60"/>
  <c r="AH116" i="58"/>
  <c r="AG116" i="59"/>
  <c r="AG116" i="60"/>
  <c r="AH128" i="58"/>
  <c r="AG128" i="59"/>
  <c r="AG128" i="60"/>
  <c r="AH91" i="58"/>
  <c r="AG91" i="59"/>
  <c r="AG91" i="60"/>
  <c r="AH111" i="58"/>
  <c r="AG111" i="59"/>
  <c r="AG111" i="60"/>
  <c r="AH106" i="58"/>
  <c r="AG106" i="59"/>
  <c r="AG106" i="60"/>
  <c r="AH96" i="58"/>
  <c r="AG96" i="59"/>
  <c r="AG96" i="60"/>
  <c r="AH89" i="58"/>
  <c r="AG89" i="59"/>
  <c r="AG89" i="60"/>
  <c r="AH109" i="58"/>
  <c r="AH98" i="58"/>
  <c r="AG98" i="59"/>
  <c r="AG98" i="60"/>
  <c r="AH78" i="58"/>
  <c r="AG78" i="59"/>
  <c r="AG78" i="60"/>
  <c r="AH61" i="58"/>
  <c r="AG61" i="59"/>
  <c r="AG61" i="60"/>
  <c r="AH51" i="58"/>
  <c r="AG51" i="59"/>
  <c r="AG51" i="60"/>
  <c r="AH50" i="58"/>
  <c r="AG50" i="59"/>
  <c r="AG50" i="60"/>
  <c r="AH44" i="58"/>
  <c r="AG44" i="59"/>
  <c r="AG44" i="60"/>
  <c r="AH152" i="58"/>
  <c r="AG152" i="59"/>
  <c r="AG152" i="60"/>
  <c r="AH190" i="58"/>
  <c r="AG190" i="59"/>
  <c r="AG190" i="60"/>
  <c r="AH176" i="58"/>
  <c r="AH187" i="58"/>
  <c r="AG187" i="59"/>
  <c r="AG187" i="60"/>
  <c r="AH179" i="58"/>
  <c r="AH160" i="58"/>
  <c r="AG160" i="59"/>
  <c r="AG160" i="60"/>
  <c r="AH113" i="58"/>
  <c r="AG113" i="59"/>
  <c r="AG113" i="60"/>
  <c r="AH110" i="58"/>
  <c r="AG110" i="59"/>
  <c r="AG110" i="60"/>
  <c r="AH108" i="58"/>
  <c r="AG108" i="59"/>
  <c r="AG108" i="60"/>
  <c r="AH105" i="58"/>
  <c r="AG105" i="59"/>
  <c r="AG105" i="60"/>
  <c r="AH120" i="58"/>
  <c r="AG120" i="59"/>
  <c r="AG120" i="60"/>
  <c r="AH88" i="58"/>
  <c r="AG88" i="59"/>
  <c r="AG88" i="60"/>
  <c r="AH92" i="58"/>
  <c r="AG92" i="59"/>
  <c r="AG92" i="60"/>
  <c r="AH99" i="58"/>
  <c r="AG99" i="59"/>
  <c r="AG99" i="60"/>
  <c r="AH68" i="58"/>
  <c r="AG68" i="59"/>
  <c r="AG68" i="60"/>
  <c r="AH59" i="58"/>
  <c r="AG59" i="59"/>
  <c r="AG59" i="60"/>
  <c r="AH58" i="58"/>
  <c r="AG58" i="59"/>
  <c r="AG58" i="60"/>
  <c r="AH184" i="58"/>
  <c r="AH188" i="58"/>
  <c r="AG188" i="59"/>
  <c r="AG188" i="60"/>
  <c r="AH178" i="58"/>
  <c r="AH117" i="58"/>
  <c r="AG117" i="59"/>
  <c r="AG117" i="60"/>
  <c r="AH171" i="58"/>
  <c r="AH163" i="58"/>
  <c r="AG163" i="59"/>
  <c r="AG163" i="60"/>
  <c r="AH155" i="58"/>
  <c r="AG155" i="59"/>
  <c r="AG155" i="60"/>
  <c r="AH132" i="58"/>
  <c r="AG132" i="59"/>
  <c r="AG132" i="60"/>
  <c r="AH142" i="58"/>
  <c r="AG142" i="59"/>
  <c r="AG142" i="60"/>
  <c r="AH135" i="58"/>
  <c r="AG135" i="59"/>
  <c r="AG135" i="60"/>
  <c r="AH139" i="58"/>
  <c r="AG139" i="59"/>
  <c r="AG139" i="60"/>
  <c r="AH140" i="58"/>
  <c r="AG140" i="59"/>
  <c r="AG140" i="60"/>
  <c r="AH118" i="58"/>
  <c r="AG118" i="59"/>
  <c r="AG118" i="60"/>
  <c r="AH107" i="58"/>
  <c r="AG107" i="59"/>
  <c r="AG107" i="60"/>
  <c r="AH115" i="58"/>
  <c r="AG115" i="59"/>
  <c r="AG115" i="60"/>
  <c r="AH165" i="58"/>
  <c r="AH177" i="58"/>
  <c r="AH173" i="58"/>
  <c r="AG173" i="59"/>
  <c r="AG173" i="60"/>
  <c r="AH170" i="58"/>
  <c r="AG170" i="59"/>
  <c r="AG170" i="60"/>
  <c r="AH172" i="58"/>
  <c r="AG172" i="59"/>
  <c r="AG172" i="60"/>
  <c r="AH156" i="58"/>
  <c r="AG156" i="59"/>
  <c r="AG156" i="60"/>
  <c r="AH146" i="58"/>
  <c r="AG146" i="59"/>
  <c r="AG146" i="60"/>
  <c r="AH126" i="58"/>
  <c r="AG126" i="59"/>
  <c r="AG126" i="60"/>
  <c r="AH168" i="58"/>
  <c r="AG168" i="59"/>
  <c r="AG168" i="60"/>
  <c r="AH149" i="58"/>
  <c r="AG149" i="59"/>
  <c r="AG149" i="60"/>
  <c r="AH147" i="58"/>
  <c r="AG147" i="59"/>
  <c r="AG147" i="60"/>
  <c r="AH144" i="58"/>
  <c r="AG144" i="59"/>
  <c r="AG144" i="60"/>
  <c r="AH137" i="58"/>
  <c r="AG137" i="59"/>
  <c r="AG137" i="60"/>
  <c r="AH131" i="58"/>
  <c r="AG131" i="59"/>
  <c r="AG131" i="60"/>
  <c r="AH119" i="58"/>
  <c r="AG119" i="59"/>
  <c r="AG119" i="60"/>
  <c r="AH76" i="58"/>
  <c r="AG76" i="59"/>
  <c r="AG76" i="60"/>
  <c r="AH71" i="58"/>
  <c r="AG71" i="59"/>
  <c r="AG71" i="60"/>
  <c r="AH53" i="58"/>
  <c r="AG53" i="59"/>
  <c r="AG53" i="60"/>
  <c r="AH60" i="58"/>
  <c r="AG60" i="59"/>
  <c r="AG60" i="60"/>
  <c r="AH46" i="58"/>
  <c r="AG46" i="59"/>
  <c r="AG46" i="60"/>
  <c r="AH38" i="58"/>
  <c r="AG38" i="59"/>
  <c r="AG38" i="60"/>
  <c r="AH34" i="58"/>
  <c r="AG34" i="59"/>
  <c r="AG34" i="60"/>
  <c r="AH30" i="58"/>
  <c r="AG30" i="59"/>
  <c r="AG30" i="60"/>
  <c r="AH24" i="58"/>
  <c r="AG24" i="59"/>
  <c r="AG24" i="60"/>
  <c r="AH3" i="58"/>
  <c r="AH191" i="58"/>
  <c r="AG191" i="59"/>
  <c r="AG191" i="60"/>
  <c r="AH127" i="58"/>
  <c r="AG127" i="59"/>
  <c r="AG127" i="60"/>
  <c r="AH125" i="58"/>
  <c r="AG125" i="59"/>
  <c r="AG125" i="60"/>
  <c r="AH100" i="58"/>
  <c r="AG100" i="59"/>
  <c r="AG100" i="60"/>
  <c r="AH174" i="58"/>
  <c r="AG174" i="59"/>
  <c r="AG174" i="60"/>
  <c r="AH189" i="58"/>
  <c r="AG189" i="59"/>
  <c r="AG189" i="60"/>
  <c r="AH94" i="58"/>
  <c r="AG94" i="59"/>
  <c r="AG94" i="60"/>
  <c r="AH90" i="58"/>
  <c r="AG90" i="59"/>
  <c r="AG90" i="60"/>
  <c r="AH66" i="58"/>
  <c r="AH49" i="58"/>
  <c r="AG49" i="59"/>
  <c r="AG49" i="60"/>
  <c r="AH35" i="58"/>
  <c r="AG35" i="59"/>
  <c r="AG35" i="60"/>
  <c r="AH12" i="58"/>
  <c r="AG12" i="59"/>
  <c r="AG12" i="60"/>
  <c r="AH181" i="58"/>
  <c r="AH161" i="58"/>
  <c r="AG161" i="59"/>
  <c r="AG161" i="60"/>
  <c r="AH159" i="58"/>
  <c r="AG159" i="59"/>
  <c r="AG159" i="60"/>
  <c r="AH112" i="58"/>
  <c r="AG112" i="59"/>
  <c r="AG112" i="60"/>
  <c r="AH102" i="58"/>
  <c r="AG102" i="59"/>
  <c r="AG102" i="60"/>
  <c r="AH95" i="58"/>
  <c r="AG95" i="59"/>
  <c r="AG95" i="60"/>
  <c r="AH93" i="58"/>
  <c r="AG93" i="59"/>
  <c r="AG93" i="60"/>
  <c r="AH86" i="58"/>
  <c r="AG86" i="59"/>
  <c r="AG86" i="60"/>
  <c r="AH82" i="58"/>
  <c r="AG82" i="59"/>
  <c r="AG82" i="60"/>
  <c r="AH63" i="58"/>
  <c r="AG63" i="59"/>
  <c r="AG63" i="60"/>
  <c r="AH65" i="58"/>
  <c r="AG65" i="59"/>
  <c r="AG65" i="60"/>
  <c r="AH56" i="58"/>
  <c r="AG56" i="59"/>
  <c r="AG56" i="60"/>
  <c r="AH54" i="58"/>
  <c r="AG54" i="59"/>
  <c r="AG54" i="60"/>
  <c r="AH26" i="58"/>
  <c r="AG26" i="59"/>
  <c r="AG26" i="60"/>
  <c r="AH31" i="58"/>
  <c r="AG31" i="59"/>
  <c r="AG31" i="60"/>
  <c r="AH19" i="58"/>
  <c r="AG19" i="59"/>
  <c r="AG19" i="60"/>
  <c r="AH13" i="58"/>
  <c r="AG13" i="59"/>
  <c r="AG13" i="60"/>
  <c r="AH6" i="58"/>
  <c r="AG6" i="59"/>
  <c r="AG6" i="60"/>
  <c r="AH169" i="58"/>
  <c r="AG169" i="59"/>
  <c r="AG169" i="60"/>
  <c r="AH85" i="58"/>
  <c r="AG85" i="59"/>
  <c r="AG85" i="60"/>
  <c r="AH42" i="58"/>
  <c r="AH23" i="58"/>
  <c r="AG23" i="59"/>
  <c r="AG23" i="60"/>
  <c r="AH182" i="58"/>
  <c r="AH158" i="58"/>
  <c r="AG158" i="59"/>
  <c r="AG158" i="60"/>
  <c r="AH134" i="58"/>
  <c r="AH104" i="58"/>
  <c r="AH73" i="58"/>
  <c r="AG73" i="59"/>
  <c r="AG73" i="60"/>
  <c r="AH87" i="58"/>
  <c r="AG87" i="59"/>
  <c r="AG87" i="60"/>
  <c r="AH80" i="58"/>
  <c r="AG80" i="59"/>
  <c r="AG80" i="60"/>
  <c r="AH69" i="58"/>
  <c r="AG69" i="59"/>
  <c r="AG69" i="60"/>
  <c r="AH67" i="58"/>
  <c r="AG67" i="59"/>
  <c r="AG67" i="60"/>
  <c r="AH47" i="58"/>
  <c r="AG47" i="59"/>
  <c r="AG47" i="60"/>
  <c r="AH25" i="58"/>
  <c r="AG25" i="59"/>
  <c r="AG25" i="60"/>
  <c r="AH16" i="58"/>
  <c r="AG16" i="59"/>
  <c r="AG16" i="60"/>
  <c r="AH15" i="58"/>
  <c r="AG15" i="59"/>
  <c r="AG15" i="60"/>
  <c r="AH20" i="58"/>
  <c r="AG20" i="59"/>
  <c r="AG20" i="60"/>
  <c r="AH14" i="58"/>
  <c r="AG14" i="59"/>
  <c r="AG14" i="60"/>
  <c r="AH7" i="58"/>
  <c r="AG7" i="59"/>
  <c r="AG7" i="60"/>
  <c r="AH8" i="58"/>
  <c r="AG8" i="59"/>
  <c r="AG8" i="60"/>
  <c r="AH39" i="58"/>
  <c r="AG39" i="59"/>
  <c r="AG39" i="60"/>
  <c r="AH28" i="58"/>
  <c r="AG28" i="59"/>
  <c r="AG28" i="60"/>
  <c r="AH138" i="58"/>
  <c r="AG138" i="59"/>
  <c r="AG138" i="60"/>
  <c r="AH122" i="58"/>
  <c r="AG122" i="59"/>
  <c r="AG122" i="60"/>
  <c r="AH97" i="58"/>
  <c r="AG97" i="59"/>
  <c r="AG97" i="60"/>
  <c r="AH101" i="58"/>
  <c r="AG101" i="59"/>
  <c r="AG101" i="60"/>
  <c r="AH62" i="58"/>
  <c r="AG62" i="59"/>
  <c r="AG62" i="60"/>
  <c r="AH64" i="58"/>
  <c r="AG64" i="59"/>
  <c r="AG64" i="60"/>
  <c r="AH45" i="58"/>
  <c r="AG45" i="59"/>
  <c r="AG45" i="60"/>
  <c r="AH40" i="58"/>
  <c r="AG40" i="59"/>
  <c r="AG40" i="60"/>
  <c r="AH4" i="58"/>
  <c r="AG4" i="59"/>
  <c r="AG4" i="60"/>
  <c r="AH77" i="58"/>
  <c r="AG77" i="59"/>
  <c r="AG77" i="60"/>
  <c r="AH43" i="58"/>
  <c r="AG43" i="59"/>
  <c r="AG43" i="60"/>
  <c r="AH11" i="58"/>
  <c r="AG11" i="59"/>
  <c r="AG11" i="60"/>
  <c r="AH18" i="58"/>
  <c r="AG18" i="59"/>
  <c r="AG18" i="60"/>
  <c r="AH72" i="58"/>
  <c r="AG72" i="59"/>
  <c r="AG72" i="60"/>
  <c r="AH103" i="58"/>
  <c r="AG103" i="59"/>
  <c r="AG103" i="60"/>
  <c r="AH41" i="58"/>
  <c r="AG41" i="59"/>
  <c r="AG41" i="60"/>
  <c r="AH70" i="58"/>
  <c r="AG70" i="59"/>
  <c r="AG70" i="60"/>
  <c r="AH37" i="58"/>
  <c r="AG37" i="59"/>
  <c r="AG37" i="60"/>
  <c r="AH81" i="58"/>
  <c r="AG81" i="59"/>
  <c r="AG81" i="60"/>
  <c r="AH17" i="58"/>
  <c r="AH124" i="58"/>
  <c r="AG124" i="59"/>
  <c r="AG124" i="60"/>
  <c r="AH145" i="58"/>
  <c r="AG145" i="59"/>
  <c r="AG145" i="60"/>
  <c r="AH129" i="58"/>
  <c r="AG129" i="59"/>
  <c r="AG129" i="60"/>
  <c r="AH27" i="58"/>
  <c r="AG27" i="59"/>
  <c r="AG27" i="60"/>
  <c r="AH148" i="58"/>
  <c r="AG148" i="59"/>
  <c r="AG148" i="60"/>
  <c r="AH75" i="58"/>
  <c r="AG75" i="59"/>
  <c r="AG75" i="60"/>
  <c r="AH22" i="58"/>
  <c r="AG22" i="59"/>
  <c r="AG22" i="60"/>
  <c r="AH33" i="58"/>
  <c r="AG33" i="59"/>
  <c r="AG33" i="60"/>
  <c r="AH79" i="58"/>
  <c r="AG79" i="59"/>
  <c r="AG79" i="60"/>
  <c r="AH141" i="58"/>
  <c r="AG141" i="59"/>
  <c r="AG141" i="60"/>
  <c r="AH151" i="58"/>
  <c r="AG151" i="59"/>
  <c r="AG151" i="60"/>
  <c r="AB193" i="60"/>
  <c r="AB195" i="60"/>
  <c r="AD216" i="58"/>
  <c r="AE213" i="58"/>
  <c r="AF203" i="58"/>
  <c r="AE84" i="60"/>
  <c r="W39" i="56"/>
  <c r="AF17" i="59"/>
  <c r="X9" i="56"/>
  <c r="AG196" i="58"/>
  <c r="AG201" i="58"/>
  <c r="AG199" i="58"/>
  <c r="AG194" i="58"/>
  <c r="AG200" i="58"/>
  <c r="AG202" i="58"/>
  <c r="AG193" i="58"/>
  <c r="AG207" i="58"/>
  <c r="X10" i="56"/>
  <c r="X4" i="56"/>
  <c r="AF42" i="59"/>
  <c r="X11" i="56"/>
  <c r="AF178" i="59"/>
  <c r="AF178" i="60"/>
  <c r="AF364" i="59"/>
  <c r="AF10" i="59"/>
  <c r="X8" i="56"/>
  <c r="AF84" i="59"/>
  <c r="X13" i="56"/>
  <c r="AF175" i="59"/>
  <c r="X16" i="56"/>
  <c r="AF183" i="59"/>
  <c r="AF183" i="60"/>
  <c r="AF369" i="59"/>
  <c r="W18" i="56"/>
  <c r="AB193" i="59"/>
  <c r="W4" i="55"/>
  <c r="W19" i="56"/>
  <c r="AD194" i="60"/>
  <c r="AE10" i="60"/>
  <c r="W34" i="56"/>
  <c r="AE186" i="60"/>
  <c r="W32" i="56"/>
  <c r="W3" i="55"/>
  <c r="AF198" i="58"/>
  <c r="AF205" i="58"/>
  <c r="AB26" i="55"/>
  <c r="AB27" i="55"/>
  <c r="AC109" i="60"/>
  <c r="U40" i="56"/>
  <c r="AD109" i="59"/>
  <c r="AC121" i="60"/>
  <c r="AD121" i="59"/>
  <c r="AE104" i="60"/>
  <c r="S10" i="55"/>
  <c r="S11" i="55"/>
  <c r="S13" i="55"/>
  <c r="X8" i="55"/>
  <c r="AE171" i="60"/>
  <c r="W33" i="56"/>
  <c r="AF184" i="59"/>
  <c r="AF184" i="60"/>
  <c r="AF370" i="59"/>
  <c r="AF179" i="59"/>
  <c r="AF179" i="60"/>
  <c r="AF365" i="59"/>
  <c r="AF177" i="59"/>
  <c r="AF177" i="60"/>
  <c r="AF363" i="59"/>
  <c r="AE165" i="60"/>
  <c r="W31" i="56"/>
  <c r="AC3" i="60"/>
  <c r="AC193" i="60"/>
  <c r="AC195" i="60"/>
  <c r="AC193" i="59"/>
  <c r="U36" i="56"/>
  <c r="U30" i="56"/>
  <c r="AD3" i="59"/>
  <c r="Z375" i="59"/>
  <c r="Z377" i="59"/>
  <c r="AD121" i="60"/>
  <c r="AE121" i="60"/>
  <c r="AF121" i="60"/>
  <c r="W23" i="56"/>
  <c r="W7" i="55"/>
  <c r="AA376" i="59"/>
  <c r="AA375" i="59"/>
  <c r="AA377" i="59"/>
  <c r="S15" i="55"/>
  <c r="S14" i="55"/>
  <c r="S16" i="55"/>
  <c r="T10" i="55"/>
  <c r="T11" i="55"/>
  <c r="T13" i="55"/>
  <c r="AD193" i="59"/>
  <c r="AD3" i="60"/>
  <c r="V30" i="56"/>
  <c r="V36" i="56"/>
  <c r="AE3" i="59"/>
  <c r="U44" i="56"/>
  <c r="U47" i="56"/>
  <c r="AG182" i="59"/>
  <c r="AG182" i="60"/>
  <c r="AG368" i="59"/>
  <c r="AG178" i="59"/>
  <c r="AG178" i="60"/>
  <c r="AG364" i="59"/>
  <c r="AF171" i="60"/>
  <c r="X33" i="56"/>
  <c r="AF165" i="60"/>
  <c r="X31" i="56"/>
  <c r="AF186" i="60"/>
  <c r="X32" i="56"/>
  <c r="U18" i="55"/>
  <c r="U19" i="55"/>
  <c r="AC196" i="60"/>
  <c r="AD109" i="60"/>
  <c r="AE109" i="59"/>
  <c r="V40" i="56"/>
  <c r="W25" i="56"/>
  <c r="AF10" i="60"/>
  <c r="X34" i="56"/>
  <c r="AG203" i="58"/>
  <c r="AC196" i="59"/>
  <c r="U21" i="55"/>
  <c r="W9" i="55"/>
  <c r="AF175" i="60"/>
  <c r="X42" i="56"/>
  <c r="X3" i="55"/>
  <c r="AG198" i="58"/>
  <c r="AG205" i="58"/>
  <c r="AC26" i="55"/>
  <c r="AC27" i="55"/>
  <c r="X6" i="55"/>
  <c r="X22" i="55"/>
  <c r="AG214" i="58"/>
  <c r="X21" i="56"/>
  <c r="AG186" i="59"/>
  <c r="Y6" i="56"/>
  <c r="AH1" i="59"/>
  <c r="AJ1" i="58"/>
  <c r="AI5" i="58"/>
  <c r="AH5" i="59"/>
  <c r="AH5" i="60"/>
  <c r="AI10" i="58"/>
  <c r="AI11" i="58"/>
  <c r="AH11" i="59"/>
  <c r="AH11" i="60"/>
  <c r="AI13" i="58"/>
  <c r="AH13" i="59"/>
  <c r="AH13" i="60"/>
  <c r="AI20" i="58"/>
  <c r="AH20" i="59"/>
  <c r="AH20" i="60"/>
  <c r="AI35" i="58"/>
  <c r="AH35" i="59"/>
  <c r="AH35" i="60"/>
  <c r="AI39" i="58"/>
  <c r="AH39" i="59"/>
  <c r="AH39" i="60"/>
  <c r="AI28" i="58"/>
  <c r="AH28" i="59"/>
  <c r="AH28" i="60"/>
  <c r="AI49" i="58"/>
  <c r="AH49" i="59"/>
  <c r="AH49" i="60"/>
  <c r="AI50" i="58"/>
  <c r="AH50" i="59"/>
  <c r="AH50" i="60"/>
  <c r="AI52" i="58"/>
  <c r="AH52" i="59"/>
  <c r="AH52" i="60"/>
  <c r="AI55" i="58"/>
  <c r="AH55" i="59"/>
  <c r="AH55" i="60"/>
  <c r="AI85" i="58"/>
  <c r="AH85" i="59"/>
  <c r="AH85" i="60"/>
  <c r="AI83" i="58"/>
  <c r="AH83" i="59"/>
  <c r="AH83" i="60"/>
  <c r="AI95" i="58"/>
  <c r="AH95" i="59"/>
  <c r="AH95" i="60"/>
  <c r="AI89" i="58"/>
  <c r="AH89" i="59"/>
  <c r="AH89" i="60"/>
  <c r="AI98" i="58"/>
  <c r="AH98" i="59"/>
  <c r="AH98" i="60"/>
  <c r="AI109" i="58"/>
  <c r="AI92" i="58"/>
  <c r="AH92" i="59"/>
  <c r="AH92" i="60"/>
  <c r="AI101" i="58"/>
  <c r="AH101" i="59"/>
  <c r="AH101" i="60"/>
  <c r="AI131" i="58"/>
  <c r="AH131" i="59"/>
  <c r="AH131" i="60"/>
  <c r="AI104" i="58"/>
  <c r="AI138" i="58"/>
  <c r="AH138" i="59"/>
  <c r="AH138" i="60"/>
  <c r="AI134" i="58"/>
  <c r="AI158" i="58"/>
  <c r="AH158" i="59"/>
  <c r="AH158" i="60"/>
  <c r="AI166" i="58"/>
  <c r="AH166" i="59"/>
  <c r="AH166" i="60"/>
  <c r="AI172" i="58"/>
  <c r="AH172" i="59"/>
  <c r="AH172" i="60"/>
  <c r="AI176" i="58"/>
  <c r="AI182" i="58"/>
  <c r="AI190" i="58"/>
  <c r="AH190" i="59"/>
  <c r="AH190" i="60"/>
  <c r="AI163" i="58"/>
  <c r="AH163" i="59"/>
  <c r="AH163" i="60"/>
  <c r="AI155" i="58"/>
  <c r="AH155" i="59"/>
  <c r="AH155" i="60"/>
  <c r="AI169" i="58"/>
  <c r="AH169" i="59"/>
  <c r="AH169" i="60"/>
  <c r="AI179" i="58"/>
  <c r="AI187" i="58"/>
  <c r="AH187" i="59"/>
  <c r="AH187" i="60"/>
  <c r="AH1" i="60"/>
  <c r="AI229" i="58"/>
  <c r="AI226" i="58"/>
  <c r="AI228" i="58"/>
  <c r="AI188" i="58"/>
  <c r="AH188" i="59"/>
  <c r="AH188" i="60"/>
  <c r="AI181" i="58"/>
  <c r="AI154" i="58"/>
  <c r="AH154" i="59"/>
  <c r="AH154" i="60"/>
  <c r="AI126" i="58"/>
  <c r="AH126" i="59"/>
  <c r="AH126" i="60"/>
  <c r="AI132" i="58"/>
  <c r="AH132" i="59"/>
  <c r="AH132" i="60"/>
  <c r="AI113" i="58"/>
  <c r="AH113" i="59"/>
  <c r="AH113" i="60"/>
  <c r="AI142" i="58"/>
  <c r="AH142" i="59"/>
  <c r="AH142" i="60"/>
  <c r="AI135" i="58"/>
  <c r="AH135" i="59"/>
  <c r="AH135" i="60"/>
  <c r="AI122" i="58"/>
  <c r="AH122" i="59"/>
  <c r="AH122" i="60"/>
  <c r="AI120" i="58"/>
  <c r="AH120" i="59"/>
  <c r="AH120" i="60"/>
  <c r="AI94" i="58"/>
  <c r="AH94" i="59"/>
  <c r="AH94" i="60"/>
  <c r="AI68" i="58"/>
  <c r="AH68" i="59"/>
  <c r="AH68" i="60"/>
  <c r="AI53" i="58"/>
  <c r="AH53" i="59"/>
  <c r="AH53" i="60"/>
  <c r="AI63" i="58"/>
  <c r="AH63" i="59"/>
  <c r="AH63" i="60"/>
  <c r="AI56" i="58"/>
  <c r="AH56" i="59"/>
  <c r="AH56" i="60"/>
  <c r="AI43" i="58"/>
  <c r="AH43" i="59"/>
  <c r="AH43" i="60"/>
  <c r="AI38" i="58"/>
  <c r="AH38" i="59"/>
  <c r="AH38" i="60"/>
  <c r="AI47" i="58"/>
  <c r="AH47" i="59"/>
  <c r="AH47" i="60"/>
  <c r="AI191" i="58"/>
  <c r="AH191" i="59"/>
  <c r="AH191" i="60"/>
  <c r="AI177" i="58"/>
  <c r="AI167" i="58"/>
  <c r="AH167" i="59"/>
  <c r="AH167" i="60"/>
  <c r="AI189" i="58"/>
  <c r="AH189" i="59"/>
  <c r="AH189" i="60"/>
  <c r="AI156" i="58"/>
  <c r="AH156" i="59"/>
  <c r="AH156" i="60"/>
  <c r="AI164" i="58"/>
  <c r="AH164" i="59"/>
  <c r="AH164" i="60"/>
  <c r="AI149" i="58"/>
  <c r="AH149" i="59"/>
  <c r="AH149" i="60"/>
  <c r="AI84" i="58"/>
  <c r="AI139" i="58"/>
  <c r="AH139" i="59"/>
  <c r="AH139" i="60"/>
  <c r="AI118" i="58"/>
  <c r="AH118" i="59"/>
  <c r="AH118" i="60"/>
  <c r="AI110" i="58"/>
  <c r="AH110" i="59"/>
  <c r="AH110" i="60"/>
  <c r="AI97" i="58"/>
  <c r="AH97" i="59"/>
  <c r="AH97" i="60"/>
  <c r="AI76" i="58"/>
  <c r="AH76" i="59"/>
  <c r="AH76" i="60"/>
  <c r="AI93" i="58"/>
  <c r="AH93" i="59"/>
  <c r="AH93" i="60"/>
  <c r="AI165" i="58"/>
  <c r="AI170" i="58"/>
  <c r="AH170" i="59"/>
  <c r="AH170" i="60"/>
  <c r="AI171" i="58"/>
  <c r="AI133" i="58"/>
  <c r="AH133" i="59"/>
  <c r="AH133" i="60"/>
  <c r="AI112" i="58"/>
  <c r="AH112" i="59"/>
  <c r="AH112" i="60"/>
  <c r="AI91" i="58"/>
  <c r="AH91" i="59"/>
  <c r="AH91" i="60"/>
  <c r="AI105" i="58"/>
  <c r="AH105" i="59"/>
  <c r="AH105" i="60"/>
  <c r="AI174" i="58"/>
  <c r="AH174" i="59"/>
  <c r="AH174" i="60"/>
  <c r="AI175" i="58"/>
  <c r="AI160" i="58"/>
  <c r="AH160" i="59"/>
  <c r="AH160" i="60"/>
  <c r="AI150" i="58"/>
  <c r="AH150" i="59"/>
  <c r="AH150" i="60"/>
  <c r="AI168" i="58"/>
  <c r="AH168" i="59"/>
  <c r="AH168" i="60"/>
  <c r="AI161" i="58"/>
  <c r="AH161" i="59"/>
  <c r="AH161" i="60"/>
  <c r="AI159" i="58"/>
  <c r="AH159" i="59"/>
  <c r="AH159" i="60"/>
  <c r="AI157" i="58"/>
  <c r="AH157" i="59"/>
  <c r="AH157" i="60"/>
  <c r="AI127" i="58"/>
  <c r="AH127" i="59"/>
  <c r="AH127" i="60"/>
  <c r="AI125" i="58"/>
  <c r="AH125" i="59"/>
  <c r="AH125" i="60"/>
  <c r="AI114" i="58"/>
  <c r="AH114" i="59"/>
  <c r="AH114" i="60"/>
  <c r="AI180" i="58"/>
  <c r="AI146" i="58"/>
  <c r="AH146" i="59"/>
  <c r="AH146" i="60"/>
  <c r="AI147" i="58"/>
  <c r="AH147" i="59"/>
  <c r="AH147" i="60"/>
  <c r="AI137" i="58"/>
  <c r="AH137" i="59"/>
  <c r="AH137" i="60"/>
  <c r="AI100" i="58"/>
  <c r="AH100" i="59"/>
  <c r="AH100" i="60"/>
  <c r="AI66" i="58"/>
  <c r="AI62" i="58"/>
  <c r="AH62" i="59"/>
  <c r="AH62" i="60"/>
  <c r="AI80" i="58"/>
  <c r="AH80" i="59"/>
  <c r="AH80" i="60"/>
  <c r="AI23" i="58"/>
  <c r="AH23" i="59"/>
  <c r="AH23" i="60"/>
  <c r="AI34" i="58"/>
  <c r="AH34" i="59"/>
  <c r="AH34" i="60"/>
  <c r="AI19" i="58"/>
  <c r="AH19" i="59"/>
  <c r="AH19" i="60"/>
  <c r="AI183" i="58"/>
  <c r="AI117" i="58"/>
  <c r="AH117" i="59"/>
  <c r="AH117" i="60"/>
  <c r="AI153" i="58"/>
  <c r="AH153" i="59"/>
  <c r="AH153" i="60"/>
  <c r="AI96" i="58"/>
  <c r="AH96" i="59"/>
  <c r="AH96" i="60"/>
  <c r="AI73" i="58"/>
  <c r="AH73" i="59"/>
  <c r="AH73" i="60"/>
  <c r="AI90" i="58"/>
  <c r="AH90" i="59"/>
  <c r="AH90" i="60"/>
  <c r="AI46" i="58"/>
  <c r="AH46" i="59"/>
  <c r="AH46" i="60"/>
  <c r="AI45" i="58"/>
  <c r="AH45" i="59"/>
  <c r="AH45" i="60"/>
  <c r="AI26" i="58"/>
  <c r="AH26" i="59"/>
  <c r="AH26" i="60"/>
  <c r="AI30" i="58"/>
  <c r="AH30" i="59"/>
  <c r="AH30" i="60"/>
  <c r="AI16" i="58"/>
  <c r="AH16" i="59"/>
  <c r="AH16" i="60"/>
  <c r="AI9" i="58"/>
  <c r="AH9" i="59"/>
  <c r="AH9" i="60"/>
  <c r="AI24" i="58"/>
  <c r="AH24" i="59"/>
  <c r="AH24" i="60"/>
  <c r="AI143" i="58"/>
  <c r="AH143" i="59"/>
  <c r="AH143" i="60"/>
  <c r="AI102" i="58"/>
  <c r="AH102" i="59"/>
  <c r="AH102" i="60"/>
  <c r="AI54" i="58"/>
  <c r="AH54" i="59"/>
  <c r="AH54" i="60"/>
  <c r="AI29" i="58"/>
  <c r="AH29" i="59"/>
  <c r="AH29" i="60"/>
  <c r="AI8" i="58"/>
  <c r="AH8" i="59"/>
  <c r="AH8" i="60"/>
  <c r="AI184" i="58"/>
  <c r="AI178" i="58"/>
  <c r="AI144" i="58"/>
  <c r="AH144" i="59"/>
  <c r="AH144" i="60"/>
  <c r="AI121" i="58"/>
  <c r="AH121" i="59"/>
  <c r="AI108" i="58"/>
  <c r="AH108" i="59"/>
  <c r="AH108" i="60"/>
  <c r="AI123" i="58"/>
  <c r="AH123" i="59"/>
  <c r="AH123" i="60"/>
  <c r="AI115" i="58"/>
  <c r="AH115" i="59"/>
  <c r="AH115" i="60"/>
  <c r="AI88" i="58"/>
  <c r="AH88" i="59"/>
  <c r="AH88" i="60"/>
  <c r="AI99" i="58"/>
  <c r="AH99" i="59"/>
  <c r="AH99" i="60"/>
  <c r="AI71" i="58"/>
  <c r="AH71" i="59"/>
  <c r="AH71" i="60"/>
  <c r="AI58" i="58"/>
  <c r="AH58" i="59"/>
  <c r="AH58" i="60"/>
  <c r="AI67" i="58"/>
  <c r="AH67" i="59"/>
  <c r="AH67" i="60"/>
  <c r="AI60" i="58"/>
  <c r="AH60" i="59"/>
  <c r="AH60" i="60"/>
  <c r="AI77" i="58"/>
  <c r="AH77" i="59"/>
  <c r="AH77" i="60"/>
  <c r="AI57" i="58"/>
  <c r="AH57" i="59"/>
  <c r="AH57" i="60"/>
  <c r="AI25" i="58"/>
  <c r="AH25" i="59"/>
  <c r="AH25" i="60"/>
  <c r="AI36" i="58"/>
  <c r="AH36" i="59"/>
  <c r="AH36" i="60"/>
  <c r="AI15" i="58"/>
  <c r="AH15" i="59"/>
  <c r="AH15" i="60"/>
  <c r="AI59" i="58"/>
  <c r="AH59" i="59"/>
  <c r="AH59" i="60"/>
  <c r="AI87" i="58"/>
  <c r="AH87" i="59"/>
  <c r="AH87" i="60"/>
  <c r="AI48" i="58"/>
  <c r="AH48" i="59"/>
  <c r="AH48" i="60"/>
  <c r="AI7" i="58"/>
  <c r="AH7" i="59"/>
  <c r="AH7" i="60"/>
  <c r="AI186" i="58"/>
  <c r="AI140" i="58"/>
  <c r="AH140" i="59"/>
  <c r="AH140" i="60"/>
  <c r="AI107" i="58"/>
  <c r="AH107" i="59"/>
  <c r="AH107" i="60"/>
  <c r="AI111" i="58"/>
  <c r="AH111" i="59"/>
  <c r="AH111" i="60"/>
  <c r="AI106" i="58"/>
  <c r="AH106" i="59"/>
  <c r="AH106" i="60"/>
  <c r="AI86" i="58"/>
  <c r="AH86" i="59"/>
  <c r="AH86" i="60"/>
  <c r="AI82" i="58"/>
  <c r="AH82" i="59"/>
  <c r="AH82" i="60"/>
  <c r="AI69" i="58"/>
  <c r="AH69" i="59"/>
  <c r="AH69" i="60"/>
  <c r="AI51" i="58"/>
  <c r="AH51" i="59"/>
  <c r="AH51" i="60"/>
  <c r="AI31" i="58"/>
  <c r="AH31" i="59"/>
  <c r="AH31" i="60"/>
  <c r="AI32" i="58"/>
  <c r="AH32" i="59"/>
  <c r="AH32" i="60"/>
  <c r="AI21" i="58"/>
  <c r="AH21" i="59"/>
  <c r="AH21" i="60"/>
  <c r="AI14" i="58"/>
  <c r="AH14" i="59"/>
  <c r="AH14" i="60"/>
  <c r="AI12" i="58"/>
  <c r="AH12" i="59"/>
  <c r="AH12" i="60"/>
  <c r="AI44" i="58"/>
  <c r="AH44" i="59"/>
  <c r="AH44" i="60"/>
  <c r="AI3" i="58"/>
  <c r="AI136" i="58"/>
  <c r="AH136" i="59"/>
  <c r="AH136" i="60"/>
  <c r="AI64" i="58"/>
  <c r="AH64" i="59"/>
  <c r="AH64" i="60"/>
  <c r="AI6" i="58"/>
  <c r="AH6" i="59"/>
  <c r="AH6" i="60"/>
  <c r="AI152" i="58"/>
  <c r="AH152" i="59"/>
  <c r="AH152" i="60"/>
  <c r="AI173" i="58"/>
  <c r="AH173" i="59"/>
  <c r="AH173" i="60"/>
  <c r="AI185" i="58"/>
  <c r="AH185" i="59"/>
  <c r="AH185" i="60"/>
  <c r="AI130" i="58"/>
  <c r="AH130" i="59"/>
  <c r="AH130" i="60"/>
  <c r="AI119" i="58"/>
  <c r="AH119" i="59"/>
  <c r="AH119" i="60"/>
  <c r="AI116" i="58"/>
  <c r="AH116" i="59"/>
  <c r="AH116" i="60"/>
  <c r="AI128" i="58"/>
  <c r="AH128" i="59"/>
  <c r="AH128" i="60"/>
  <c r="AI78" i="58"/>
  <c r="AH78" i="59"/>
  <c r="AH78" i="60"/>
  <c r="AI61" i="58"/>
  <c r="AH61" i="59"/>
  <c r="AH61" i="60"/>
  <c r="AI74" i="58"/>
  <c r="AH74" i="59"/>
  <c r="AH74" i="60"/>
  <c r="AI65" i="58"/>
  <c r="AH65" i="59"/>
  <c r="AH65" i="60"/>
  <c r="AI42" i="58"/>
  <c r="AI4" i="58"/>
  <c r="AH4" i="59"/>
  <c r="AH4" i="60"/>
  <c r="AI162" i="58"/>
  <c r="AH162" i="59"/>
  <c r="AH162" i="60"/>
  <c r="AI40" i="58"/>
  <c r="AH40" i="59"/>
  <c r="AH40" i="60"/>
  <c r="AI22" i="58"/>
  <c r="AH22" i="59"/>
  <c r="AH22" i="60"/>
  <c r="AI145" i="58"/>
  <c r="AH145" i="59"/>
  <c r="AH145" i="60"/>
  <c r="AI18" i="58"/>
  <c r="AH18" i="59"/>
  <c r="AH18" i="60"/>
  <c r="AI41" i="58"/>
  <c r="AH41" i="59"/>
  <c r="AH41" i="60"/>
  <c r="AI81" i="58"/>
  <c r="AH81" i="59"/>
  <c r="AH81" i="60"/>
  <c r="AI70" i="58"/>
  <c r="AH70" i="59"/>
  <c r="AH70" i="60"/>
  <c r="AI27" i="58"/>
  <c r="AH27" i="59"/>
  <c r="AH27" i="60"/>
  <c r="AI75" i="58"/>
  <c r="AH75" i="59"/>
  <c r="AH75" i="60"/>
  <c r="AI33" i="58"/>
  <c r="AH33" i="59"/>
  <c r="AH33" i="60"/>
  <c r="AI79" i="58"/>
  <c r="AH79" i="59"/>
  <c r="AH79" i="60"/>
  <c r="AI141" i="58"/>
  <c r="AH141" i="59"/>
  <c r="AH141" i="60"/>
  <c r="AI148" i="58"/>
  <c r="AH148" i="59"/>
  <c r="AH148" i="60"/>
  <c r="AI72" i="58"/>
  <c r="AH72" i="59"/>
  <c r="AH72" i="60"/>
  <c r="AI17" i="58"/>
  <c r="AI124" i="58"/>
  <c r="AH124" i="59"/>
  <c r="AH124" i="60"/>
  <c r="AI37" i="58"/>
  <c r="AH37" i="59"/>
  <c r="AH37" i="60"/>
  <c r="AI129" i="58"/>
  <c r="AH129" i="59"/>
  <c r="AH129" i="60"/>
  <c r="AI103" i="58"/>
  <c r="AH103" i="59"/>
  <c r="AH103" i="60"/>
  <c r="AI151" i="58"/>
  <c r="AH151" i="59"/>
  <c r="AH151" i="60"/>
  <c r="T49" i="56"/>
  <c r="V9" i="55"/>
  <c r="Y8" i="55"/>
  <c r="T21" i="55"/>
  <c r="AB196" i="59"/>
  <c r="AE216" i="58"/>
  <c r="AF213" i="58"/>
  <c r="AG42" i="59"/>
  <c r="Y11" i="56"/>
  <c r="AG66" i="59"/>
  <c r="Y12" i="56"/>
  <c r="AG184" i="59"/>
  <c r="AG184" i="60"/>
  <c r="AG370" i="59"/>
  <c r="AF104" i="60"/>
  <c r="AI221" i="58"/>
  <c r="AJ218" i="58"/>
  <c r="AF84" i="60"/>
  <c r="X39" i="56"/>
  <c r="AF42" i="60"/>
  <c r="X37" i="56"/>
  <c r="AG104" i="59"/>
  <c r="Y14" i="56"/>
  <c r="AG179" i="59"/>
  <c r="AG179" i="60"/>
  <c r="AG365" i="59"/>
  <c r="AG175" i="59"/>
  <c r="Y16" i="56"/>
  <c r="X4" i="55"/>
  <c r="X19" i="56"/>
  <c r="AE194" i="60"/>
  <c r="AF17" i="60"/>
  <c r="X35" i="56"/>
  <c r="T18" i="55"/>
  <c r="T19" i="55"/>
  <c r="AB196" i="60"/>
  <c r="AG17" i="59"/>
  <c r="Y9" i="56"/>
  <c r="AG134" i="59"/>
  <c r="Y15" i="56"/>
  <c r="AG181" i="59"/>
  <c r="AG181" i="60"/>
  <c r="AG367" i="59"/>
  <c r="AG177" i="59"/>
  <c r="AG177" i="60"/>
  <c r="AG363" i="59"/>
  <c r="AG171" i="59"/>
  <c r="Y7" i="56"/>
  <c r="AG183" i="59"/>
  <c r="AG183" i="60"/>
  <c r="AG369" i="59"/>
  <c r="Y5" i="55"/>
  <c r="AH209" i="58"/>
  <c r="AH210" i="58"/>
  <c r="AH211" i="58"/>
  <c r="Y20" i="56"/>
  <c r="AG121" i="60"/>
  <c r="AG10" i="59"/>
  <c r="Y8" i="56"/>
  <c r="AF66" i="60"/>
  <c r="X38" i="56"/>
  <c r="AF134" i="60"/>
  <c r="X41" i="56"/>
  <c r="AH196" i="58"/>
  <c r="AH194" i="58"/>
  <c r="AH201" i="58"/>
  <c r="AH199" i="58"/>
  <c r="AH200" i="58"/>
  <c r="AH193" i="58"/>
  <c r="AH202" i="58"/>
  <c r="Y10" i="56"/>
  <c r="Y4" i="56"/>
  <c r="AH207" i="58"/>
  <c r="AG165" i="59"/>
  <c r="Y5" i="56"/>
  <c r="AG176" i="59"/>
  <c r="AG176" i="60"/>
  <c r="AG362" i="59"/>
  <c r="AG84" i="59"/>
  <c r="Y13" i="56"/>
  <c r="AG180" i="59"/>
  <c r="AG180" i="60"/>
  <c r="AG366" i="59"/>
  <c r="X18" i="56"/>
  <c r="AH203" i="58"/>
  <c r="X23" i="56"/>
  <c r="T16" i="55"/>
  <c r="T15" i="55"/>
  <c r="T14" i="55"/>
  <c r="U10" i="55"/>
  <c r="U11" i="55"/>
  <c r="U13" i="55"/>
  <c r="Y18" i="56"/>
  <c r="Y3" i="55"/>
  <c r="AH198" i="58"/>
  <c r="AH205" i="58"/>
  <c r="AD26" i="55"/>
  <c r="AD27" i="55"/>
  <c r="AJ221" i="58"/>
  <c r="AK218" i="58"/>
  <c r="AF216" i="58"/>
  <c r="AG213" i="58"/>
  <c r="AH42" i="59"/>
  <c r="Z11" i="56"/>
  <c r="AH186" i="59"/>
  <c r="Z6" i="56"/>
  <c r="AH176" i="59"/>
  <c r="AH176" i="60"/>
  <c r="AH362" i="59"/>
  <c r="AH104" i="59"/>
  <c r="Z14" i="56"/>
  <c r="X7" i="55"/>
  <c r="V44" i="56"/>
  <c r="V47" i="56"/>
  <c r="Y4" i="55"/>
  <c r="Y19" i="56"/>
  <c r="AF194" i="60"/>
  <c r="X25" i="56"/>
  <c r="AG165" i="60"/>
  <c r="Y31" i="56"/>
  <c r="AG10" i="60"/>
  <c r="Y34" i="56"/>
  <c r="AG104" i="60"/>
  <c r="AB197" i="59"/>
  <c r="AB198" i="59"/>
  <c r="AH17" i="59"/>
  <c r="Z9" i="56"/>
  <c r="AH121" i="60"/>
  <c r="AH175" i="59"/>
  <c r="Z16" i="56"/>
  <c r="AH171" i="59"/>
  <c r="Z7" i="56"/>
  <c r="AG186" i="60"/>
  <c r="Y32" i="56"/>
  <c r="AE109" i="60"/>
  <c r="W40" i="56"/>
  <c r="AF109" i="59"/>
  <c r="V49" i="56"/>
  <c r="AG66" i="60"/>
  <c r="Y38" i="56"/>
  <c r="T23" i="55"/>
  <c r="Y28" i="55"/>
  <c r="AH10" i="59"/>
  <c r="Z8" i="56"/>
  <c r="AD193" i="60"/>
  <c r="AD195" i="60"/>
  <c r="AH3" i="59"/>
  <c r="AI196" i="58"/>
  <c r="AI194" i="58"/>
  <c r="AI202" i="58"/>
  <c r="AI201" i="58"/>
  <c r="AI193" i="58"/>
  <c r="AI199" i="58"/>
  <c r="AI200" i="58"/>
  <c r="AI207" i="58"/>
  <c r="Z10" i="56"/>
  <c r="Z4" i="56"/>
  <c r="AH178" i="59"/>
  <c r="AH178" i="60"/>
  <c r="AH364" i="59"/>
  <c r="AH180" i="59"/>
  <c r="AH180" i="60"/>
  <c r="AH366" i="59"/>
  <c r="AH165" i="59"/>
  <c r="Z5" i="56"/>
  <c r="V21" i="55"/>
  <c r="AD196" i="59"/>
  <c r="Y25" i="56"/>
  <c r="AG134" i="60"/>
  <c r="Y41" i="56"/>
  <c r="AG175" i="60"/>
  <c r="Y42" i="56"/>
  <c r="AG42" i="60"/>
  <c r="Y37" i="56"/>
  <c r="Z8" i="55"/>
  <c r="AH184" i="59"/>
  <c r="AH184" i="60"/>
  <c r="AH370" i="59"/>
  <c r="AH183" i="59"/>
  <c r="AH183" i="60"/>
  <c r="AH369" i="59"/>
  <c r="AH66" i="59"/>
  <c r="Z12" i="56"/>
  <c r="AH84" i="59"/>
  <c r="Z13" i="56"/>
  <c r="AH177" i="59"/>
  <c r="AH177" i="60"/>
  <c r="AH363" i="59"/>
  <c r="AH181" i="59"/>
  <c r="AH181" i="60"/>
  <c r="AH367" i="59"/>
  <c r="AH134" i="59"/>
  <c r="Z15" i="56"/>
  <c r="AK1" i="58"/>
  <c r="AJ4" i="58"/>
  <c r="AI4" i="59"/>
  <c r="AI4" i="60"/>
  <c r="AI1" i="59"/>
  <c r="AJ9" i="58"/>
  <c r="AI9" i="59"/>
  <c r="AI9" i="60"/>
  <c r="AJ11" i="58"/>
  <c r="AI11" i="59"/>
  <c r="AI11" i="60"/>
  <c r="AJ29" i="58"/>
  <c r="AI29" i="59"/>
  <c r="AI29" i="60"/>
  <c r="AJ32" i="58"/>
  <c r="AI32" i="59"/>
  <c r="AI32" i="60"/>
  <c r="AJ23" i="58"/>
  <c r="AI23" i="59"/>
  <c r="AI23" i="60"/>
  <c r="AJ36" i="58"/>
  <c r="AI36" i="59"/>
  <c r="AI36" i="60"/>
  <c r="AJ35" i="58"/>
  <c r="AI35" i="59"/>
  <c r="AI35" i="60"/>
  <c r="AJ47" i="58"/>
  <c r="AI47" i="59"/>
  <c r="AI47" i="60"/>
  <c r="AJ31" i="58"/>
  <c r="AI31" i="59"/>
  <c r="AI31" i="60"/>
  <c r="AJ34" i="58"/>
  <c r="AI34" i="59"/>
  <c r="AI34" i="60"/>
  <c r="AJ74" i="58"/>
  <c r="AI74" i="59"/>
  <c r="AI74" i="60"/>
  <c r="AJ77" i="58"/>
  <c r="AI77" i="59"/>
  <c r="AI77" i="60"/>
  <c r="AJ80" i="58"/>
  <c r="AI80" i="59"/>
  <c r="AI80" i="60"/>
  <c r="AJ53" i="58"/>
  <c r="AI53" i="59"/>
  <c r="AI53" i="60"/>
  <c r="AJ57" i="58"/>
  <c r="AI57" i="59"/>
  <c r="AI57" i="60"/>
  <c r="AJ85" i="58"/>
  <c r="AI85" i="59"/>
  <c r="AI85" i="60"/>
  <c r="AJ90" i="58"/>
  <c r="AI90" i="59"/>
  <c r="AI90" i="60"/>
  <c r="AJ96" i="58"/>
  <c r="AI96" i="59"/>
  <c r="AI96" i="60"/>
  <c r="AJ87" i="58"/>
  <c r="AI87" i="59"/>
  <c r="AI87" i="60"/>
  <c r="AJ93" i="58"/>
  <c r="AI93" i="59"/>
  <c r="AI93" i="60"/>
  <c r="AJ99" i="58"/>
  <c r="AI99" i="59"/>
  <c r="AI99" i="60"/>
  <c r="AJ120" i="58"/>
  <c r="AI120" i="59"/>
  <c r="AI120" i="60"/>
  <c r="AJ142" i="58"/>
  <c r="AI142" i="59"/>
  <c r="AI142" i="60"/>
  <c r="AJ159" i="58"/>
  <c r="AI159" i="59"/>
  <c r="AI159" i="60"/>
  <c r="AJ135" i="58"/>
  <c r="AI135" i="59"/>
  <c r="AI135" i="60"/>
  <c r="AJ162" i="58"/>
  <c r="AI162" i="59"/>
  <c r="AI162" i="60"/>
  <c r="AJ173" i="58"/>
  <c r="AI173" i="59"/>
  <c r="AI173" i="60"/>
  <c r="AJ177" i="58"/>
  <c r="AJ183" i="58"/>
  <c r="AJ188" i="58"/>
  <c r="AI188" i="59"/>
  <c r="AI188" i="60"/>
  <c r="AJ156" i="58"/>
  <c r="AI156" i="59"/>
  <c r="AI156" i="60"/>
  <c r="AJ195" i="58"/>
  <c r="AJ226" i="58"/>
  <c r="AJ229" i="58"/>
  <c r="AJ228" i="58"/>
  <c r="AI1" i="60"/>
  <c r="AJ152" i="58"/>
  <c r="AI152" i="59"/>
  <c r="AI152" i="60"/>
  <c r="AJ182" i="58"/>
  <c r="AJ181" i="58"/>
  <c r="AJ164" i="58"/>
  <c r="AI164" i="59"/>
  <c r="AI164" i="60"/>
  <c r="AJ168" i="58"/>
  <c r="AI168" i="59"/>
  <c r="AI168" i="60"/>
  <c r="AJ154" i="58"/>
  <c r="AI154" i="59"/>
  <c r="AI154" i="60"/>
  <c r="AJ138" i="58"/>
  <c r="AI138" i="59"/>
  <c r="AI138" i="60"/>
  <c r="AJ139" i="58"/>
  <c r="AI139" i="59"/>
  <c r="AI139" i="60"/>
  <c r="AJ132" i="58"/>
  <c r="AI132" i="59"/>
  <c r="AI132" i="60"/>
  <c r="AJ123" i="58"/>
  <c r="AI123" i="59"/>
  <c r="AI123" i="60"/>
  <c r="AJ107" i="58"/>
  <c r="AI107" i="59"/>
  <c r="AI107" i="60"/>
  <c r="AJ73" i="58"/>
  <c r="AI73" i="59"/>
  <c r="AI73" i="60"/>
  <c r="AJ95" i="58"/>
  <c r="AI95" i="59"/>
  <c r="AI95" i="60"/>
  <c r="AJ109" i="58"/>
  <c r="AJ94" i="58"/>
  <c r="AI94" i="59"/>
  <c r="AI94" i="60"/>
  <c r="AJ71" i="58"/>
  <c r="AI71" i="59"/>
  <c r="AI71" i="60"/>
  <c r="AJ42" i="58"/>
  <c r="AJ26" i="58"/>
  <c r="AI26" i="59"/>
  <c r="AI26" i="60"/>
  <c r="AJ189" i="58"/>
  <c r="AI189" i="59"/>
  <c r="AI189" i="60"/>
  <c r="AJ158" i="58"/>
  <c r="AI158" i="59"/>
  <c r="AI158" i="60"/>
  <c r="AJ161" i="58"/>
  <c r="AI161" i="59"/>
  <c r="AI161" i="60"/>
  <c r="AJ130" i="58"/>
  <c r="AI130" i="59"/>
  <c r="AI130" i="60"/>
  <c r="AJ104" i="58"/>
  <c r="AJ105" i="58"/>
  <c r="AI105" i="59"/>
  <c r="AI105" i="60"/>
  <c r="AJ115" i="58"/>
  <c r="AI115" i="59"/>
  <c r="AI115" i="60"/>
  <c r="AJ97" i="58"/>
  <c r="AI97" i="59"/>
  <c r="AI97" i="60"/>
  <c r="AJ165" i="58"/>
  <c r="AJ174" i="58"/>
  <c r="AI174" i="59"/>
  <c r="AI174" i="60"/>
  <c r="AJ117" i="58"/>
  <c r="AI117" i="59"/>
  <c r="AI117" i="60"/>
  <c r="AJ186" i="58"/>
  <c r="AJ185" i="58"/>
  <c r="AI185" i="59"/>
  <c r="AI185" i="60"/>
  <c r="AJ167" i="58"/>
  <c r="AI167" i="59"/>
  <c r="AI167" i="60"/>
  <c r="AJ163" i="58"/>
  <c r="AI163" i="59"/>
  <c r="AI163" i="60"/>
  <c r="AJ150" i="58"/>
  <c r="AI150" i="59"/>
  <c r="AI150" i="60"/>
  <c r="AJ133" i="58"/>
  <c r="AI133" i="59"/>
  <c r="AI133" i="60"/>
  <c r="AJ144" i="58"/>
  <c r="AI144" i="59"/>
  <c r="AI144" i="60"/>
  <c r="AJ100" i="58"/>
  <c r="AI100" i="59"/>
  <c r="AI100" i="60"/>
  <c r="AJ121" i="58"/>
  <c r="AI121" i="59"/>
  <c r="AI121" i="60"/>
  <c r="AJ91" i="58"/>
  <c r="AI91" i="59"/>
  <c r="AI91" i="60"/>
  <c r="AJ191" i="58"/>
  <c r="AI191" i="59"/>
  <c r="AI191" i="60"/>
  <c r="AJ170" i="58"/>
  <c r="AI170" i="59"/>
  <c r="AI170" i="60"/>
  <c r="AJ190" i="58"/>
  <c r="AI190" i="59"/>
  <c r="AI190" i="60"/>
  <c r="AJ176" i="58"/>
  <c r="AJ187" i="58"/>
  <c r="AI187" i="59"/>
  <c r="AI187" i="60"/>
  <c r="AJ179" i="58"/>
  <c r="AJ175" i="58"/>
  <c r="AJ166" i="58"/>
  <c r="AI166" i="59"/>
  <c r="AI166" i="60"/>
  <c r="AJ160" i="58"/>
  <c r="AI160" i="59"/>
  <c r="AI160" i="60"/>
  <c r="AJ172" i="58"/>
  <c r="AI172" i="59"/>
  <c r="AI172" i="60"/>
  <c r="AJ146" i="58"/>
  <c r="AI146" i="59"/>
  <c r="AI146" i="60"/>
  <c r="AJ126" i="58"/>
  <c r="AI126" i="59"/>
  <c r="AI126" i="60"/>
  <c r="AJ157" i="58"/>
  <c r="AI157" i="59"/>
  <c r="AI157" i="60"/>
  <c r="AJ84" i="58"/>
  <c r="AJ108" i="58"/>
  <c r="AI108" i="59"/>
  <c r="AI108" i="60"/>
  <c r="AJ86" i="58"/>
  <c r="AI86" i="59"/>
  <c r="AI86" i="60"/>
  <c r="AJ82" i="58"/>
  <c r="AI82" i="59"/>
  <c r="AI82" i="60"/>
  <c r="AJ68" i="58"/>
  <c r="AI68" i="59"/>
  <c r="AI68" i="60"/>
  <c r="AJ66" i="58"/>
  <c r="AJ62" i="58"/>
  <c r="AI62" i="59"/>
  <c r="AI62" i="60"/>
  <c r="AJ43" i="58"/>
  <c r="AI43" i="59"/>
  <c r="AI43" i="60"/>
  <c r="AJ54" i="58"/>
  <c r="AI54" i="59"/>
  <c r="AI54" i="60"/>
  <c r="AJ49" i="58"/>
  <c r="AI49" i="59"/>
  <c r="AI49" i="60"/>
  <c r="AJ13" i="58"/>
  <c r="AI13" i="59"/>
  <c r="AI13" i="60"/>
  <c r="AJ8" i="58"/>
  <c r="AI8" i="59"/>
  <c r="AI8" i="60"/>
  <c r="AJ134" i="58"/>
  <c r="AJ89" i="58"/>
  <c r="AI89" i="59"/>
  <c r="AI89" i="60"/>
  <c r="AJ83" i="58"/>
  <c r="AI83" i="59"/>
  <c r="AI83" i="60"/>
  <c r="AJ180" i="58"/>
  <c r="AJ147" i="58"/>
  <c r="AI147" i="59"/>
  <c r="AI147" i="60"/>
  <c r="AJ137" i="58"/>
  <c r="AI137" i="59"/>
  <c r="AI137" i="60"/>
  <c r="AJ131" i="58"/>
  <c r="AI131" i="59"/>
  <c r="AI131" i="60"/>
  <c r="AJ125" i="58"/>
  <c r="AI125" i="59"/>
  <c r="AI125" i="60"/>
  <c r="AJ118" i="58"/>
  <c r="AI118" i="59"/>
  <c r="AI118" i="60"/>
  <c r="AJ119" i="58"/>
  <c r="AI119" i="59"/>
  <c r="AI119" i="60"/>
  <c r="AJ63" i="58"/>
  <c r="AI63" i="59"/>
  <c r="AI63" i="60"/>
  <c r="AJ65" i="58"/>
  <c r="AI65" i="59"/>
  <c r="AI65" i="60"/>
  <c r="AJ51" i="58"/>
  <c r="AI51" i="59"/>
  <c r="AI51" i="60"/>
  <c r="AJ44" i="58"/>
  <c r="AI44" i="59"/>
  <c r="AI44" i="60"/>
  <c r="AJ38" i="58"/>
  <c r="AI38" i="59"/>
  <c r="AI38" i="60"/>
  <c r="AJ6" i="58"/>
  <c r="AI6" i="59"/>
  <c r="AI6" i="60"/>
  <c r="AJ10" i="58"/>
  <c r="AJ5" i="58"/>
  <c r="AI5" i="59"/>
  <c r="AI5" i="60"/>
  <c r="AJ111" i="58"/>
  <c r="AI111" i="59"/>
  <c r="AI111" i="60"/>
  <c r="AJ56" i="58"/>
  <c r="AI56" i="59"/>
  <c r="AI56" i="60"/>
  <c r="AJ184" i="58"/>
  <c r="AJ178" i="58"/>
  <c r="AJ153" i="58"/>
  <c r="AI153" i="59"/>
  <c r="AI153" i="60"/>
  <c r="AJ155" i="58"/>
  <c r="AI155" i="59"/>
  <c r="AI155" i="60"/>
  <c r="AJ122" i="58"/>
  <c r="AI122" i="59"/>
  <c r="AI122" i="60"/>
  <c r="AJ136" i="58"/>
  <c r="AI136" i="59"/>
  <c r="AI136" i="60"/>
  <c r="AJ110" i="58"/>
  <c r="AI110" i="59"/>
  <c r="AI110" i="60"/>
  <c r="AJ78" i="58"/>
  <c r="AI78" i="59"/>
  <c r="AI78" i="60"/>
  <c r="AJ61" i="58"/>
  <c r="AI61" i="59"/>
  <c r="AI61" i="60"/>
  <c r="AJ52" i="58"/>
  <c r="AI52" i="59"/>
  <c r="AI52" i="60"/>
  <c r="AJ28" i="58"/>
  <c r="AI28" i="59"/>
  <c r="AI28" i="60"/>
  <c r="AJ19" i="58"/>
  <c r="AI19" i="59"/>
  <c r="AI19" i="60"/>
  <c r="AJ171" i="58"/>
  <c r="AJ112" i="58"/>
  <c r="AI112" i="59"/>
  <c r="AI112" i="60"/>
  <c r="AJ59" i="58"/>
  <c r="AI59" i="59"/>
  <c r="AI59" i="60"/>
  <c r="AJ40" i="58"/>
  <c r="AI40" i="59"/>
  <c r="AI40" i="60"/>
  <c r="AJ39" i="58"/>
  <c r="AI39" i="59"/>
  <c r="AI39" i="60"/>
  <c r="AJ7" i="58"/>
  <c r="AI7" i="59"/>
  <c r="AI7" i="60"/>
  <c r="AJ149" i="58"/>
  <c r="AI149" i="59"/>
  <c r="AI149" i="60"/>
  <c r="AJ140" i="58"/>
  <c r="AI140" i="59"/>
  <c r="AI140" i="60"/>
  <c r="AJ143" i="58"/>
  <c r="AI143" i="59"/>
  <c r="AI143" i="60"/>
  <c r="AJ128" i="58"/>
  <c r="AI128" i="59"/>
  <c r="AI128" i="60"/>
  <c r="AJ76" i="58"/>
  <c r="AI76" i="59"/>
  <c r="AI76" i="60"/>
  <c r="AJ106" i="58"/>
  <c r="AI106" i="59"/>
  <c r="AI106" i="60"/>
  <c r="AJ98" i="58"/>
  <c r="AI98" i="59"/>
  <c r="AI98" i="60"/>
  <c r="AJ92" i="58"/>
  <c r="AI92" i="59"/>
  <c r="AI92" i="60"/>
  <c r="AJ69" i="58"/>
  <c r="AI69" i="59"/>
  <c r="AI69" i="60"/>
  <c r="AJ67" i="58"/>
  <c r="AI67" i="59"/>
  <c r="AI67" i="60"/>
  <c r="AJ50" i="58"/>
  <c r="AI50" i="59"/>
  <c r="AI50" i="60"/>
  <c r="AJ55" i="58"/>
  <c r="AI55" i="59"/>
  <c r="AI55" i="60"/>
  <c r="AJ46" i="58"/>
  <c r="AI46" i="59"/>
  <c r="AI46" i="60"/>
  <c r="AJ25" i="58"/>
  <c r="AI25" i="59"/>
  <c r="AI25" i="60"/>
  <c r="AJ30" i="58"/>
  <c r="AI30" i="59"/>
  <c r="AI30" i="60"/>
  <c r="AJ16" i="58"/>
  <c r="AI16" i="59"/>
  <c r="AI16" i="60"/>
  <c r="AJ3" i="58"/>
  <c r="AJ20" i="58"/>
  <c r="AI20" i="59"/>
  <c r="AI20" i="60"/>
  <c r="AJ45" i="58"/>
  <c r="AI45" i="59"/>
  <c r="AI45" i="60"/>
  <c r="AJ48" i="58"/>
  <c r="AI48" i="59"/>
  <c r="AI48" i="60"/>
  <c r="AJ15" i="58"/>
  <c r="AI15" i="59"/>
  <c r="AI15" i="60"/>
  <c r="AJ127" i="58"/>
  <c r="AI127" i="59"/>
  <c r="AI127" i="60"/>
  <c r="AJ113" i="58"/>
  <c r="AI113" i="59"/>
  <c r="AI113" i="60"/>
  <c r="AJ114" i="58"/>
  <c r="AI114" i="59"/>
  <c r="AI114" i="60"/>
  <c r="AJ116" i="58"/>
  <c r="AI116" i="59"/>
  <c r="AI116" i="60"/>
  <c r="AJ102" i="58"/>
  <c r="AI102" i="59"/>
  <c r="AI102" i="60"/>
  <c r="AJ101" i="58"/>
  <c r="AI101" i="59"/>
  <c r="AI101" i="60"/>
  <c r="AJ88" i="58"/>
  <c r="AI88" i="59"/>
  <c r="AI88" i="60"/>
  <c r="AJ58" i="58"/>
  <c r="AI58" i="59"/>
  <c r="AI58" i="60"/>
  <c r="AJ60" i="58"/>
  <c r="AI60" i="59"/>
  <c r="AI60" i="60"/>
  <c r="AJ24" i="58"/>
  <c r="AI24" i="59"/>
  <c r="AI24" i="60"/>
  <c r="AJ21" i="58"/>
  <c r="AI21" i="59"/>
  <c r="AI21" i="60"/>
  <c r="AJ12" i="58"/>
  <c r="AI12" i="59"/>
  <c r="AI12" i="60"/>
  <c r="AJ14" i="58"/>
  <c r="AI14" i="59"/>
  <c r="AI14" i="60"/>
  <c r="AJ169" i="58"/>
  <c r="AI169" i="59"/>
  <c r="AI169" i="60"/>
  <c r="AJ64" i="58"/>
  <c r="AI64" i="59"/>
  <c r="AI64" i="60"/>
  <c r="AJ81" i="58"/>
  <c r="AI81" i="59"/>
  <c r="AI81" i="60"/>
  <c r="AJ148" i="58"/>
  <c r="AI148" i="59"/>
  <c r="AI148" i="60"/>
  <c r="AJ103" i="58"/>
  <c r="AI103" i="59"/>
  <c r="AI103" i="60"/>
  <c r="AJ17" i="58"/>
  <c r="AJ22" i="58"/>
  <c r="AI22" i="59"/>
  <c r="AI22" i="60"/>
  <c r="AJ33" i="58"/>
  <c r="AI33" i="59"/>
  <c r="AI33" i="60"/>
  <c r="AJ72" i="58"/>
  <c r="AI72" i="59"/>
  <c r="AI72" i="60"/>
  <c r="AJ75" i="58"/>
  <c r="AI75" i="59"/>
  <c r="AI75" i="60"/>
  <c r="AJ124" i="58"/>
  <c r="AI124" i="59"/>
  <c r="AI124" i="60"/>
  <c r="AJ18" i="58"/>
  <c r="AI18" i="59"/>
  <c r="AI18" i="60"/>
  <c r="AJ37" i="58"/>
  <c r="AI37" i="59"/>
  <c r="AI37" i="60"/>
  <c r="AJ129" i="58"/>
  <c r="AI129" i="59"/>
  <c r="AI129" i="60"/>
  <c r="AJ27" i="58"/>
  <c r="AI27" i="59"/>
  <c r="AI27" i="60"/>
  <c r="AJ79" i="58"/>
  <c r="AI79" i="59"/>
  <c r="AI79" i="60"/>
  <c r="AJ70" i="58"/>
  <c r="AI70" i="59"/>
  <c r="AI70" i="60"/>
  <c r="AJ41" i="58"/>
  <c r="AI41" i="59"/>
  <c r="AI41" i="60"/>
  <c r="AJ141" i="58"/>
  <c r="AI141" i="59"/>
  <c r="AI141" i="60"/>
  <c r="AJ151" i="58"/>
  <c r="AI151" i="59"/>
  <c r="AI151" i="60"/>
  <c r="AJ145" i="58"/>
  <c r="AI145" i="59"/>
  <c r="AI145" i="60"/>
  <c r="U23" i="55"/>
  <c r="Z28" i="55"/>
  <c r="AE193" i="59"/>
  <c r="AE3" i="60"/>
  <c r="AE193" i="60"/>
  <c r="AE195" i="60"/>
  <c r="W30" i="56"/>
  <c r="W36" i="56"/>
  <c r="W44" i="56"/>
  <c r="W47" i="56"/>
  <c r="AF3" i="59"/>
  <c r="AG84" i="60"/>
  <c r="Y39" i="56"/>
  <c r="AG171" i="60"/>
  <c r="Y33" i="56"/>
  <c r="AH214" i="58"/>
  <c r="Y6" i="55"/>
  <c r="Y22" i="55"/>
  <c r="Y21" i="56"/>
  <c r="AG17" i="60"/>
  <c r="Y35" i="56"/>
  <c r="AH179" i="59"/>
  <c r="AH179" i="60"/>
  <c r="AH365" i="59"/>
  <c r="AH182" i="59"/>
  <c r="AH182" i="60"/>
  <c r="AH368" i="59"/>
  <c r="AC198" i="59"/>
  <c r="AC197" i="59"/>
  <c r="AC372" i="59"/>
  <c r="U49" i="56"/>
  <c r="AB372" i="59"/>
  <c r="Z18" i="56"/>
  <c r="AG216" i="58"/>
  <c r="AH213" i="58"/>
  <c r="U14" i="55"/>
  <c r="U16" i="55"/>
  <c r="U15" i="55"/>
  <c r="V11" i="55"/>
  <c r="V13" i="55"/>
  <c r="V10" i="55"/>
  <c r="AI184" i="59"/>
  <c r="AI184" i="60"/>
  <c r="AI370" i="59"/>
  <c r="AI186" i="59"/>
  <c r="AA6" i="56"/>
  <c r="AA8" i="55"/>
  <c r="AH165" i="60"/>
  <c r="Z31" i="56"/>
  <c r="AH10" i="60"/>
  <c r="Z34" i="56"/>
  <c r="AH17" i="60"/>
  <c r="Z35" i="56"/>
  <c r="AK221" i="58"/>
  <c r="AL218" i="58"/>
  <c r="AI176" i="59"/>
  <c r="AI176" i="60"/>
  <c r="AI362" i="59"/>
  <c r="W49" i="56"/>
  <c r="AE196" i="60"/>
  <c r="W18" i="55"/>
  <c r="W19" i="55"/>
  <c r="AI3" i="59"/>
  <c r="AJ194" i="58"/>
  <c r="AJ196" i="58"/>
  <c r="AJ202" i="58"/>
  <c r="AJ193" i="58"/>
  <c r="AJ201" i="58"/>
  <c r="AJ199" i="58"/>
  <c r="AJ200" i="58"/>
  <c r="AA4" i="56"/>
  <c r="AJ207" i="58"/>
  <c r="AA10" i="56"/>
  <c r="AI134" i="59"/>
  <c r="AA15" i="56"/>
  <c r="AI84" i="59"/>
  <c r="AA13" i="56"/>
  <c r="AI104" i="59"/>
  <c r="AA14" i="56"/>
  <c r="AI42" i="59"/>
  <c r="AA11" i="56"/>
  <c r="AI183" i="59"/>
  <c r="AI183" i="60"/>
  <c r="AI369" i="59"/>
  <c r="AH66" i="60"/>
  <c r="Z38" i="56"/>
  <c r="Z4" i="55"/>
  <c r="Z19" i="56"/>
  <c r="AG194" i="60"/>
  <c r="AF109" i="60"/>
  <c r="AG109" i="59"/>
  <c r="X40" i="56"/>
  <c r="AH171" i="60"/>
  <c r="Z33" i="56"/>
  <c r="X9" i="55"/>
  <c r="AH186" i="60"/>
  <c r="Z32" i="56"/>
  <c r="W21" i="55"/>
  <c r="AE196" i="59"/>
  <c r="AI17" i="59"/>
  <c r="AA9" i="56"/>
  <c r="AI66" i="59"/>
  <c r="AA12" i="56"/>
  <c r="AI175" i="59"/>
  <c r="AA16" i="56"/>
  <c r="AI177" i="59"/>
  <c r="AI177" i="60"/>
  <c r="AI363" i="59"/>
  <c r="AL1" i="58"/>
  <c r="AK8" i="58"/>
  <c r="AJ8" i="59"/>
  <c r="AJ8" i="60"/>
  <c r="AK4" i="58"/>
  <c r="AJ4" i="59"/>
  <c r="AJ4" i="60"/>
  <c r="AJ1" i="59"/>
  <c r="AK5" i="58"/>
  <c r="AJ5" i="59"/>
  <c r="AJ5" i="60"/>
  <c r="AK12" i="58"/>
  <c r="AJ12" i="59"/>
  <c r="AJ12" i="60"/>
  <c r="AK14" i="58"/>
  <c r="AJ14" i="59"/>
  <c r="AJ14" i="60"/>
  <c r="AK20" i="58"/>
  <c r="AJ20" i="59"/>
  <c r="AJ20" i="60"/>
  <c r="AK24" i="58"/>
  <c r="AJ24" i="59"/>
  <c r="AJ24" i="60"/>
  <c r="AK15" i="58"/>
  <c r="AJ15" i="59"/>
  <c r="AJ15" i="60"/>
  <c r="AK36" i="58"/>
  <c r="AJ36" i="59"/>
  <c r="AJ36" i="60"/>
  <c r="AK26" i="58"/>
  <c r="AJ26" i="59"/>
  <c r="AJ26" i="60"/>
  <c r="AK29" i="58"/>
  <c r="AJ29" i="59"/>
  <c r="AJ29" i="60"/>
  <c r="AK49" i="58"/>
  <c r="AJ49" i="59"/>
  <c r="AJ49" i="60"/>
  <c r="AK32" i="58"/>
  <c r="AJ32" i="59"/>
  <c r="AJ32" i="60"/>
  <c r="AK74" i="58"/>
  <c r="AJ74" i="59"/>
  <c r="AJ74" i="60"/>
  <c r="AK58" i="58"/>
  <c r="AJ58" i="59"/>
  <c r="AJ58" i="60"/>
  <c r="AK71" i="58"/>
  <c r="AJ71" i="59"/>
  <c r="AJ71" i="60"/>
  <c r="AK109" i="58"/>
  <c r="AJ109" i="59"/>
  <c r="AK106" i="58"/>
  <c r="AJ106" i="59"/>
  <c r="AJ106" i="60"/>
  <c r="AK88" i="58"/>
  <c r="AJ88" i="59"/>
  <c r="AJ88" i="60"/>
  <c r="AK121" i="58"/>
  <c r="AJ121" i="59"/>
  <c r="AJ121" i="60"/>
  <c r="AK108" i="58"/>
  <c r="AJ108" i="59"/>
  <c r="AJ108" i="60"/>
  <c r="AK133" i="58"/>
  <c r="AJ133" i="59"/>
  <c r="AJ133" i="60"/>
  <c r="AK143" i="58"/>
  <c r="AJ143" i="59"/>
  <c r="AJ143" i="60"/>
  <c r="AK154" i="58"/>
  <c r="AJ154" i="59"/>
  <c r="AJ154" i="60"/>
  <c r="AK163" i="58"/>
  <c r="AJ163" i="59"/>
  <c r="AJ163" i="60"/>
  <c r="AK166" i="58"/>
  <c r="AJ166" i="59"/>
  <c r="AJ166" i="60"/>
  <c r="AK157" i="58"/>
  <c r="AJ157" i="59"/>
  <c r="AJ157" i="60"/>
  <c r="AK168" i="58"/>
  <c r="AJ168" i="59"/>
  <c r="AJ168" i="60"/>
  <c r="AK175" i="58"/>
  <c r="AK189" i="58"/>
  <c r="AJ189" i="59"/>
  <c r="AJ189" i="60"/>
  <c r="AK185" i="58"/>
  <c r="AJ185" i="59"/>
  <c r="AJ185" i="60"/>
  <c r="AK181" i="58"/>
  <c r="AK195" i="58"/>
  <c r="AK226" i="58"/>
  <c r="AK228" i="58"/>
  <c r="AK229" i="58"/>
  <c r="AJ1" i="60"/>
  <c r="AK184" i="58"/>
  <c r="AK178" i="58"/>
  <c r="AK177" i="58"/>
  <c r="AK173" i="58"/>
  <c r="AJ173" i="59"/>
  <c r="AJ173" i="60"/>
  <c r="AK170" i="58"/>
  <c r="AJ170" i="59"/>
  <c r="AJ170" i="60"/>
  <c r="AK156" i="58"/>
  <c r="AJ156" i="59"/>
  <c r="AJ156" i="60"/>
  <c r="AK146" i="58"/>
  <c r="AJ146" i="59"/>
  <c r="AJ146" i="60"/>
  <c r="AK126" i="58"/>
  <c r="AJ126" i="59"/>
  <c r="AJ126" i="60"/>
  <c r="AK149" i="58"/>
  <c r="AJ149" i="59"/>
  <c r="AJ149" i="60"/>
  <c r="AK137" i="58"/>
  <c r="AJ137" i="59"/>
  <c r="AJ137" i="60"/>
  <c r="AK131" i="58"/>
  <c r="AJ131" i="59"/>
  <c r="AJ131" i="60"/>
  <c r="AK144" i="58"/>
  <c r="AJ144" i="59"/>
  <c r="AJ144" i="60"/>
  <c r="AK134" i="58"/>
  <c r="AK112" i="58"/>
  <c r="AJ112" i="59"/>
  <c r="AJ112" i="60"/>
  <c r="AK104" i="58"/>
  <c r="AK128" i="58"/>
  <c r="AJ128" i="59"/>
  <c r="AJ128" i="60"/>
  <c r="AK102" i="58"/>
  <c r="AJ102" i="59"/>
  <c r="AJ102" i="60"/>
  <c r="AK93" i="58"/>
  <c r="AJ93" i="59"/>
  <c r="AJ93" i="60"/>
  <c r="AK66" i="58"/>
  <c r="AK85" i="58"/>
  <c r="AJ85" i="59"/>
  <c r="AJ85" i="60"/>
  <c r="AK62" i="58"/>
  <c r="AJ62" i="59"/>
  <c r="AJ62" i="60"/>
  <c r="AK53" i="58"/>
  <c r="AJ53" i="59"/>
  <c r="AJ53" i="60"/>
  <c r="AK45" i="58"/>
  <c r="AJ45" i="59"/>
  <c r="AJ45" i="60"/>
  <c r="AK165" i="58"/>
  <c r="AK180" i="58"/>
  <c r="AK183" i="58"/>
  <c r="AK153" i="58"/>
  <c r="AJ153" i="59"/>
  <c r="AJ153" i="60"/>
  <c r="AK167" i="58"/>
  <c r="AJ167" i="59"/>
  <c r="AJ167" i="60"/>
  <c r="AK172" i="58"/>
  <c r="AJ172" i="59"/>
  <c r="AJ172" i="60"/>
  <c r="AK164" i="58"/>
  <c r="AJ164" i="59"/>
  <c r="AJ164" i="60"/>
  <c r="AK162" i="58"/>
  <c r="AJ162" i="59"/>
  <c r="AJ162" i="60"/>
  <c r="AK140" i="58"/>
  <c r="AJ140" i="59"/>
  <c r="AJ140" i="60"/>
  <c r="AK130" i="58"/>
  <c r="AJ130" i="59"/>
  <c r="AJ130" i="60"/>
  <c r="AK114" i="58"/>
  <c r="AJ114" i="59"/>
  <c r="AJ114" i="60"/>
  <c r="AK118" i="58"/>
  <c r="AJ118" i="59"/>
  <c r="AJ118" i="60"/>
  <c r="AK116" i="58"/>
  <c r="AJ116" i="59"/>
  <c r="AJ116" i="60"/>
  <c r="AK111" i="58"/>
  <c r="AJ111" i="59"/>
  <c r="AJ111" i="60"/>
  <c r="AK96" i="58"/>
  <c r="AJ96" i="59"/>
  <c r="AJ96" i="60"/>
  <c r="AK89" i="58"/>
  <c r="AJ89" i="59"/>
  <c r="AJ89" i="60"/>
  <c r="AK98" i="58"/>
  <c r="AJ98" i="59"/>
  <c r="AJ98" i="60"/>
  <c r="AK78" i="58"/>
  <c r="AJ78" i="59"/>
  <c r="AJ78" i="60"/>
  <c r="AK61" i="58"/>
  <c r="AJ61" i="59"/>
  <c r="AJ61" i="60"/>
  <c r="AK77" i="58"/>
  <c r="AJ77" i="59"/>
  <c r="AJ77" i="60"/>
  <c r="AK69" i="58"/>
  <c r="AJ69" i="59"/>
  <c r="AJ69" i="60"/>
  <c r="AK174" i="58"/>
  <c r="AJ174" i="59"/>
  <c r="AJ174" i="60"/>
  <c r="AK158" i="58"/>
  <c r="AJ158" i="59"/>
  <c r="AJ158" i="60"/>
  <c r="AK161" i="58"/>
  <c r="AJ161" i="59"/>
  <c r="AJ161" i="60"/>
  <c r="AK159" i="58"/>
  <c r="AJ159" i="59"/>
  <c r="AJ159" i="60"/>
  <c r="AK127" i="58"/>
  <c r="AJ127" i="59"/>
  <c r="AJ127" i="60"/>
  <c r="AK122" i="58"/>
  <c r="AJ122" i="59"/>
  <c r="AJ122" i="60"/>
  <c r="AK119" i="58"/>
  <c r="AJ119" i="59"/>
  <c r="AJ119" i="60"/>
  <c r="AK188" i="58"/>
  <c r="AJ188" i="59"/>
  <c r="AJ188" i="60"/>
  <c r="AK186" i="58"/>
  <c r="AK117" i="58"/>
  <c r="AJ117" i="59"/>
  <c r="AJ117" i="60"/>
  <c r="AK150" i="58"/>
  <c r="AJ150" i="59"/>
  <c r="AJ150" i="60"/>
  <c r="AK155" i="58"/>
  <c r="AJ155" i="59"/>
  <c r="AJ155" i="60"/>
  <c r="AK132" i="58"/>
  <c r="AJ132" i="59"/>
  <c r="AJ132" i="60"/>
  <c r="AK142" i="58"/>
  <c r="AJ142" i="59"/>
  <c r="AJ142" i="60"/>
  <c r="AK135" i="58"/>
  <c r="AJ135" i="59"/>
  <c r="AJ135" i="60"/>
  <c r="AK187" i="58"/>
  <c r="AJ187" i="59"/>
  <c r="AJ187" i="60"/>
  <c r="AK169" i="58"/>
  <c r="AJ169" i="59"/>
  <c r="AJ169" i="60"/>
  <c r="AK160" i="58"/>
  <c r="AJ160" i="59"/>
  <c r="AJ160" i="60"/>
  <c r="AK138" i="58"/>
  <c r="AJ138" i="59"/>
  <c r="AJ138" i="60"/>
  <c r="AK147" i="58"/>
  <c r="AJ147" i="59"/>
  <c r="AJ147" i="60"/>
  <c r="AK115" i="58"/>
  <c r="AJ115" i="59"/>
  <c r="AJ115" i="60"/>
  <c r="AK101" i="58"/>
  <c r="AJ101" i="59"/>
  <c r="AJ101" i="60"/>
  <c r="AK64" i="58"/>
  <c r="AJ64" i="59"/>
  <c r="AJ64" i="60"/>
  <c r="AK40" i="58"/>
  <c r="AJ40" i="59"/>
  <c r="AJ40" i="60"/>
  <c r="AK35" i="58"/>
  <c r="AJ35" i="59"/>
  <c r="AJ35" i="60"/>
  <c r="AK7" i="58"/>
  <c r="AJ7" i="59"/>
  <c r="AJ7" i="60"/>
  <c r="AK10" i="58"/>
  <c r="AK113" i="58"/>
  <c r="AJ113" i="59"/>
  <c r="AJ113" i="60"/>
  <c r="AK136" i="58"/>
  <c r="AJ136" i="59"/>
  <c r="AJ136" i="60"/>
  <c r="AK87" i="58"/>
  <c r="AJ87" i="59"/>
  <c r="AJ87" i="60"/>
  <c r="AK63" i="58"/>
  <c r="AJ63" i="59"/>
  <c r="AJ63" i="60"/>
  <c r="AK179" i="58"/>
  <c r="AK84" i="58"/>
  <c r="AK110" i="58"/>
  <c r="AJ110" i="59"/>
  <c r="AJ110" i="60"/>
  <c r="AK105" i="58"/>
  <c r="AJ105" i="59"/>
  <c r="AJ105" i="60"/>
  <c r="AK120" i="58"/>
  <c r="AJ120" i="59"/>
  <c r="AJ120" i="60"/>
  <c r="AK97" i="58"/>
  <c r="AJ97" i="59"/>
  <c r="AJ97" i="60"/>
  <c r="AK76" i="58"/>
  <c r="AJ76" i="59"/>
  <c r="AJ76" i="60"/>
  <c r="AK60" i="58"/>
  <c r="AJ60" i="59"/>
  <c r="AJ60" i="60"/>
  <c r="AK51" i="58"/>
  <c r="AJ51" i="59"/>
  <c r="AJ51" i="60"/>
  <c r="AK55" i="58"/>
  <c r="AJ55" i="59"/>
  <c r="AJ55" i="60"/>
  <c r="AK50" i="58"/>
  <c r="AJ50" i="59"/>
  <c r="AJ50" i="60"/>
  <c r="AK46" i="58"/>
  <c r="AJ46" i="59"/>
  <c r="AJ46" i="60"/>
  <c r="AK38" i="58"/>
  <c r="AJ38" i="59"/>
  <c r="AJ38" i="60"/>
  <c r="AK48" i="58"/>
  <c r="AJ48" i="59"/>
  <c r="AJ48" i="60"/>
  <c r="AK21" i="58"/>
  <c r="AJ21" i="59"/>
  <c r="AJ21" i="60"/>
  <c r="AK34" i="58"/>
  <c r="AJ34" i="59"/>
  <c r="AJ34" i="60"/>
  <c r="AK30" i="58"/>
  <c r="AJ30" i="59"/>
  <c r="AJ30" i="60"/>
  <c r="AK11" i="58"/>
  <c r="AJ11" i="59"/>
  <c r="AJ11" i="60"/>
  <c r="AK3" i="58"/>
  <c r="AK176" i="58"/>
  <c r="AK80" i="58"/>
  <c r="AJ80" i="59"/>
  <c r="AJ80" i="60"/>
  <c r="AK65" i="58"/>
  <c r="AJ65" i="59"/>
  <c r="AJ65" i="60"/>
  <c r="AK13" i="58"/>
  <c r="AJ13" i="59"/>
  <c r="AJ13" i="60"/>
  <c r="AK139" i="58"/>
  <c r="AJ139" i="59"/>
  <c r="AJ139" i="60"/>
  <c r="AK107" i="58"/>
  <c r="AJ107" i="59"/>
  <c r="AJ107" i="60"/>
  <c r="AK99" i="58"/>
  <c r="AJ99" i="59"/>
  <c r="AJ99" i="60"/>
  <c r="AK90" i="58"/>
  <c r="AJ90" i="59"/>
  <c r="AJ90" i="60"/>
  <c r="AK59" i="58"/>
  <c r="AJ59" i="59"/>
  <c r="AJ59" i="60"/>
  <c r="AK83" i="58"/>
  <c r="AJ83" i="59"/>
  <c r="AJ83" i="60"/>
  <c r="AK44" i="58"/>
  <c r="AJ44" i="59"/>
  <c r="AJ44" i="60"/>
  <c r="AK52" i="58"/>
  <c r="AJ52" i="59"/>
  <c r="AJ52" i="60"/>
  <c r="AK6" i="58"/>
  <c r="AJ6" i="59"/>
  <c r="AJ6" i="60"/>
  <c r="AK152" i="58"/>
  <c r="AJ152" i="59"/>
  <c r="AJ152" i="60"/>
  <c r="AK191" i="58"/>
  <c r="AJ191" i="59"/>
  <c r="AJ191" i="60"/>
  <c r="AK171" i="58"/>
  <c r="AK125" i="58"/>
  <c r="AJ125" i="59"/>
  <c r="AJ125" i="60"/>
  <c r="AK123" i="58"/>
  <c r="AJ123" i="59"/>
  <c r="AJ123" i="60"/>
  <c r="AK86" i="58"/>
  <c r="AJ86" i="59"/>
  <c r="AJ86" i="60"/>
  <c r="AK82" i="58"/>
  <c r="AJ82" i="59"/>
  <c r="AJ82" i="60"/>
  <c r="AK57" i="58"/>
  <c r="AJ57" i="59"/>
  <c r="AJ57" i="60"/>
  <c r="AK43" i="58"/>
  <c r="AJ43" i="59"/>
  <c r="AJ43" i="60"/>
  <c r="AK54" i="58"/>
  <c r="AJ54" i="59"/>
  <c r="AJ54" i="60"/>
  <c r="AK42" i="58"/>
  <c r="AK39" i="58"/>
  <c r="AJ39" i="59"/>
  <c r="AJ39" i="60"/>
  <c r="AK28" i="58"/>
  <c r="AJ28" i="59"/>
  <c r="AJ28" i="60"/>
  <c r="AK23" i="58"/>
  <c r="AJ23" i="59"/>
  <c r="AJ23" i="60"/>
  <c r="AK9" i="58"/>
  <c r="AJ9" i="59"/>
  <c r="AJ9" i="60"/>
  <c r="AK31" i="58"/>
  <c r="AJ31" i="59"/>
  <c r="AJ31" i="60"/>
  <c r="AK190" i="58"/>
  <c r="AJ190" i="59"/>
  <c r="AJ190" i="60"/>
  <c r="AK182" i="58"/>
  <c r="AK100" i="58"/>
  <c r="AJ100" i="59"/>
  <c r="AJ100" i="60"/>
  <c r="AK91" i="58"/>
  <c r="AJ91" i="59"/>
  <c r="AJ91" i="60"/>
  <c r="AK73" i="58"/>
  <c r="AJ73" i="59"/>
  <c r="AJ73" i="60"/>
  <c r="AK94" i="58"/>
  <c r="AJ94" i="59"/>
  <c r="AJ94" i="60"/>
  <c r="AK68" i="58"/>
  <c r="AJ68" i="59"/>
  <c r="AJ68" i="60"/>
  <c r="AK67" i="58"/>
  <c r="AJ67" i="59"/>
  <c r="AJ67" i="60"/>
  <c r="AK47" i="58"/>
  <c r="AJ47" i="59"/>
  <c r="AJ47" i="60"/>
  <c r="AK25" i="58"/>
  <c r="AJ25" i="59"/>
  <c r="AJ25" i="60"/>
  <c r="AK16" i="58"/>
  <c r="AJ16" i="59"/>
  <c r="AJ16" i="60"/>
  <c r="AK95" i="58"/>
  <c r="AJ95" i="59"/>
  <c r="AJ95" i="60"/>
  <c r="AK92" i="58"/>
  <c r="AJ92" i="59"/>
  <c r="AJ92" i="60"/>
  <c r="AK56" i="58"/>
  <c r="AJ56" i="59"/>
  <c r="AJ56" i="60"/>
  <c r="AK19" i="58"/>
  <c r="AJ19" i="59"/>
  <c r="AJ19" i="60"/>
  <c r="AK75" i="58"/>
  <c r="AJ75" i="59"/>
  <c r="AJ75" i="60"/>
  <c r="AK22" i="58"/>
  <c r="AJ22" i="59"/>
  <c r="AJ22" i="60"/>
  <c r="AK33" i="58"/>
  <c r="AJ33" i="59"/>
  <c r="AJ33" i="60"/>
  <c r="AK79" i="58"/>
  <c r="AJ79" i="59"/>
  <c r="AJ79" i="60"/>
  <c r="AK124" i="58"/>
  <c r="AJ124" i="59"/>
  <c r="AJ124" i="60"/>
  <c r="AK141" i="58"/>
  <c r="AJ141" i="59"/>
  <c r="AJ141" i="60"/>
  <c r="AK148" i="58"/>
  <c r="AJ148" i="59"/>
  <c r="AJ148" i="60"/>
  <c r="AK129" i="58"/>
  <c r="AJ129" i="59"/>
  <c r="AJ129" i="60"/>
  <c r="AK81" i="58"/>
  <c r="AJ81" i="59"/>
  <c r="AJ81" i="60"/>
  <c r="AK72" i="58"/>
  <c r="AJ72" i="59"/>
  <c r="AJ72" i="60"/>
  <c r="AK18" i="58"/>
  <c r="AJ18" i="59"/>
  <c r="AJ18" i="60"/>
  <c r="AK103" i="58"/>
  <c r="AJ103" i="59"/>
  <c r="AJ103" i="60"/>
  <c r="AK17" i="58"/>
  <c r="AK37" i="58"/>
  <c r="AJ37" i="59"/>
  <c r="AJ37" i="60"/>
  <c r="AK151" i="58"/>
  <c r="AJ151" i="59"/>
  <c r="AJ151" i="60"/>
  <c r="AK41" i="58"/>
  <c r="AJ41" i="59"/>
  <c r="AJ41" i="60"/>
  <c r="AK70" i="58"/>
  <c r="AJ70" i="59"/>
  <c r="AJ70" i="60"/>
  <c r="AK27" i="58"/>
  <c r="AJ27" i="59"/>
  <c r="AJ27" i="60"/>
  <c r="AK145" i="58"/>
  <c r="AJ145" i="59"/>
  <c r="AJ145" i="60"/>
  <c r="AI214" i="58"/>
  <c r="Z6" i="55"/>
  <c r="Z22" i="55"/>
  <c r="Z21" i="56"/>
  <c r="AB376" i="59"/>
  <c r="AB375" i="59"/>
  <c r="AB377" i="59"/>
  <c r="AF3" i="60"/>
  <c r="AF193" i="60"/>
  <c r="AF195" i="60"/>
  <c r="AF193" i="59"/>
  <c r="X30" i="56"/>
  <c r="X36" i="56"/>
  <c r="X44" i="56"/>
  <c r="X47" i="56"/>
  <c r="AG3" i="59"/>
  <c r="AI10" i="59"/>
  <c r="AA8" i="56"/>
  <c r="AI179" i="59"/>
  <c r="AI179" i="60"/>
  <c r="AI365" i="59"/>
  <c r="AI165" i="59"/>
  <c r="AA5" i="56"/>
  <c r="AI181" i="59"/>
  <c r="AI181" i="60"/>
  <c r="AI367" i="59"/>
  <c r="AD198" i="59"/>
  <c r="AD197" i="59"/>
  <c r="AI203" i="58"/>
  <c r="Z36" i="56"/>
  <c r="AH175" i="60"/>
  <c r="Z42" i="56"/>
  <c r="AH104" i="60"/>
  <c r="AH42" i="60"/>
  <c r="Z37" i="56"/>
  <c r="Y7" i="55"/>
  <c r="AI178" i="59"/>
  <c r="AI178" i="60"/>
  <c r="AI364" i="59"/>
  <c r="AI180" i="59"/>
  <c r="AI180" i="60"/>
  <c r="AI366" i="59"/>
  <c r="AI182" i="59"/>
  <c r="AI182" i="60"/>
  <c r="AI368" i="59"/>
  <c r="AA5" i="55"/>
  <c r="AJ209" i="58"/>
  <c r="AJ210" i="58"/>
  <c r="AJ211" i="58"/>
  <c r="AA20" i="56"/>
  <c r="V23" i="55"/>
  <c r="AA28" i="55"/>
  <c r="Z3" i="55"/>
  <c r="V18" i="55"/>
  <c r="V19" i="55"/>
  <c r="AD196" i="60"/>
  <c r="Y23" i="56"/>
  <c r="AC375" i="59"/>
  <c r="AC377" i="59"/>
  <c r="AC376" i="59"/>
  <c r="AI171" i="59"/>
  <c r="AA7" i="56"/>
  <c r="AH134" i="60"/>
  <c r="Z41" i="56"/>
  <c r="AH84" i="60"/>
  <c r="Z39" i="56"/>
  <c r="Z25" i="56"/>
  <c r="AI195" i="58"/>
  <c r="AD372" i="59"/>
  <c r="AD376" i="59"/>
  <c r="V16" i="55"/>
  <c r="W11" i="55"/>
  <c r="W13" i="55"/>
  <c r="V15" i="55"/>
  <c r="V14" i="55"/>
  <c r="W10" i="55"/>
  <c r="AL221" i="58"/>
  <c r="AM218" i="58"/>
  <c r="Z5" i="55"/>
  <c r="AI209" i="58"/>
  <c r="AI210" i="58"/>
  <c r="AI211" i="58"/>
  <c r="Z20" i="56"/>
  <c r="Z23" i="56"/>
  <c r="X49" i="56"/>
  <c r="AJ104" i="59"/>
  <c r="AB14" i="56"/>
  <c r="AJ177" i="59"/>
  <c r="AJ177" i="60"/>
  <c r="AJ363" i="59"/>
  <c r="AG109" i="60"/>
  <c r="Y40" i="56"/>
  <c r="AH109" i="59"/>
  <c r="AA6" i="55"/>
  <c r="AA22" i="55"/>
  <c r="AJ214" i="58"/>
  <c r="AA21" i="56"/>
  <c r="AF196" i="59"/>
  <c r="X21" i="55"/>
  <c r="AJ171" i="59"/>
  <c r="AB7" i="56"/>
  <c r="AJ183" i="59"/>
  <c r="AJ183" i="60"/>
  <c r="AJ369" i="59"/>
  <c r="AJ178" i="59"/>
  <c r="AJ178" i="60"/>
  <c r="AJ364" i="59"/>
  <c r="AB5" i="55"/>
  <c r="AB20" i="56"/>
  <c r="AK209" i="58"/>
  <c r="AK210" i="58"/>
  <c r="AK211" i="58"/>
  <c r="AI17" i="60"/>
  <c r="AA35" i="56"/>
  <c r="AI84" i="60"/>
  <c r="AA39" i="56"/>
  <c r="AA4" i="55"/>
  <c r="AA19" i="56"/>
  <c r="AH194" i="60"/>
  <c r="AI186" i="60"/>
  <c r="AA32" i="56"/>
  <c r="AD375" i="59"/>
  <c r="AD377" i="59"/>
  <c r="AI171" i="60"/>
  <c r="AA33" i="56"/>
  <c r="AI198" i="58"/>
  <c r="AI205" i="58"/>
  <c r="AE26" i="55"/>
  <c r="AE27" i="55"/>
  <c r="AI10" i="60"/>
  <c r="AA34" i="56"/>
  <c r="AF196" i="60"/>
  <c r="X18" i="55"/>
  <c r="X19" i="55"/>
  <c r="AJ17" i="59"/>
  <c r="AB9" i="56"/>
  <c r="AJ180" i="59"/>
  <c r="AJ180" i="60"/>
  <c r="AJ366" i="59"/>
  <c r="AJ66" i="59"/>
  <c r="AB12" i="56"/>
  <c r="AJ134" i="59"/>
  <c r="AB15" i="56"/>
  <c r="AJ184" i="59"/>
  <c r="AJ184" i="60"/>
  <c r="AJ370" i="59"/>
  <c r="AJ181" i="59"/>
  <c r="AJ181" i="60"/>
  <c r="AJ367" i="59"/>
  <c r="AE197" i="59"/>
  <c r="AE198" i="59"/>
  <c r="AJ203" i="58"/>
  <c r="AA36" i="56"/>
  <c r="Z7" i="55"/>
  <c r="AA18" i="56"/>
  <c r="AA25" i="56"/>
  <c r="AG3" i="60"/>
  <c r="AG193" i="59"/>
  <c r="Y30" i="56"/>
  <c r="Y36" i="56"/>
  <c r="Y44" i="56"/>
  <c r="Y47" i="56"/>
  <c r="AJ165" i="59"/>
  <c r="AB5" i="56"/>
  <c r="AI175" i="60"/>
  <c r="AA42" i="56"/>
  <c r="W23" i="55"/>
  <c r="AB28" i="55"/>
  <c r="AI42" i="60"/>
  <c r="AA37" i="56"/>
  <c r="AI134" i="60"/>
  <c r="AA41" i="56"/>
  <c r="Y9" i="55"/>
  <c r="AI165" i="60"/>
  <c r="AA31" i="56"/>
  <c r="AJ182" i="59"/>
  <c r="AJ182" i="60"/>
  <c r="AJ368" i="59"/>
  <c r="AJ176" i="59"/>
  <c r="AJ176" i="60"/>
  <c r="AJ362" i="59"/>
  <c r="AJ84" i="59"/>
  <c r="AB13" i="56"/>
  <c r="AJ10" i="59"/>
  <c r="AB8" i="56"/>
  <c r="AJ186" i="59"/>
  <c r="AB6" i="56"/>
  <c r="AA3" i="55"/>
  <c r="AA7" i="55"/>
  <c r="AA9" i="55"/>
  <c r="AJ198" i="58"/>
  <c r="AJ205" i="58"/>
  <c r="AF26" i="55"/>
  <c r="AF27" i="55"/>
  <c r="AJ42" i="59"/>
  <c r="AB11" i="56"/>
  <c r="AJ3" i="59"/>
  <c r="AK196" i="58"/>
  <c r="AK200" i="58"/>
  <c r="AK202" i="58"/>
  <c r="AK194" i="58"/>
  <c r="AK201" i="58"/>
  <c r="AK199" i="58"/>
  <c r="AK207" i="58"/>
  <c r="AK193" i="58"/>
  <c r="AB10" i="56"/>
  <c r="AB4" i="56"/>
  <c r="AJ179" i="59"/>
  <c r="AJ179" i="60"/>
  <c r="AJ365" i="59"/>
  <c r="AJ175" i="59"/>
  <c r="AB16" i="56"/>
  <c r="AK1" i="59"/>
  <c r="AM1" i="58"/>
  <c r="AL5" i="58"/>
  <c r="AK5" i="59"/>
  <c r="AK5" i="60"/>
  <c r="AL8" i="58"/>
  <c r="AK8" i="59"/>
  <c r="AK8" i="60"/>
  <c r="AL10" i="58"/>
  <c r="AL12" i="58"/>
  <c r="AK12" i="59"/>
  <c r="AK12" i="60"/>
  <c r="AL20" i="58"/>
  <c r="AK20" i="59"/>
  <c r="AK20" i="60"/>
  <c r="AL35" i="58"/>
  <c r="AK35" i="59"/>
  <c r="AK35" i="60"/>
  <c r="AL28" i="58"/>
  <c r="AK28" i="59"/>
  <c r="AK28" i="60"/>
  <c r="AL39" i="58"/>
  <c r="AK39" i="59"/>
  <c r="AK39" i="60"/>
  <c r="AL30" i="58"/>
  <c r="AK30" i="59"/>
  <c r="AK30" i="60"/>
  <c r="AL52" i="58"/>
  <c r="AK52" i="59"/>
  <c r="AK52" i="60"/>
  <c r="AL55" i="58"/>
  <c r="AK55" i="59"/>
  <c r="AK55" i="60"/>
  <c r="AL67" i="58"/>
  <c r="AK67" i="59"/>
  <c r="AK67" i="60"/>
  <c r="AL83" i="58"/>
  <c r="AK83" i="59"/>
  <c r="AK83" i="60"/>
  <c r="AL98" i="58"/>
  <c r="AK98" i="59"/>
  <c r="AK98" i="60"/>
  <c r="AL101" i="58"/>
  <c r="AK101" i="59"/>
  <c r="AK101" i="60"/>
  <c r="AL106" i="58"/>
  <c r="AK106" i="59"/>
  <c r="AK106" i="60"/>
  <c r="AL92" i="58"/>
  <c r="AK92" i="59"/>
  <c r="AK92" i="60"/>
  <c r="AL109" i="58"/>
  <c r="AK109" i="59"/>
  <c r="AL121" i="58"/>
  <c r="AK121" i="59"/>
  <c r="AK121" i="60"/>
  <c r="AL131" i="58"/>
  <c r="AK131" i="59"/>
  <c r="AK131" i="60"/>
  <c r="AL137" i="58"/>
  <c r="AK137" i="59"/>
  <c r="AK137" i="60"/>
  <c r="AL122" i="58"/>
  <c r="AK122" i="59"/>
  <c r="AK122" i="60"/>
  <c r="AL155" i="58"/>
  <c r="AK155" i="59"/>
  <c r="AK155" i="60"/>
  <c r="AL164" i="58"/>
  <c r="AK164" i="59"/>
  <c r="AK164" i="60"/>
  <c r="AL179" i="58"/>
  <c r="AL187" i="58"/>
  <c r="AK187" i="59"/>
  <c r="AK187" i="60"/>
  <c r="AL158" i="58"/>
  <c r="AK158" i="59"/>
  <c r="AK158" i="60"/>
  <c r="AL195" i="58"/>
  <c r="AL226" i="58"/>
  <c r="AL228" i="58"/>
  <c r="AL229" i="58"/>
  <c r="AK1" i="60"/>
  <c r="AL174" i="58"/>
  <c r="AK174" i="59"/>
  <c r="AK174" i="60"/>
  <c r="AL175" i="58"/>
  <c r="AL163" i="58"/>
  <c r="AK163" i="59"/>
  <c r="AK163" i="60"/>
  <c r="AL160" i="58"/>
  <c r="AK160" i="59"/>
  <c r="AK160" i="60"/>
  <c r="AL150" i="58"/>
  <c r="AK150" i="59"/>
  <c r="AK150" i="60"/>
  <c r="AL168" i="58"/>
  <c r="AK168" i="59"/>
  <c r="AK168" i="60"/>
  <c r="AL172" i="58"/>
  <c r="AK172" i="59"/>
  <c r="AK172" i="60"/>
  <c r="AL159" i="58"/>
  <c r="AK159" i="59"/>
  <c r="AK159" i="60"/>
  <c r="AL157" i="58"/>
  <c r="AK157" i="59"/>
  <c r="AK157" i="60"/>
  <c r="AL127" i="58"/>
  <c r="AK127" i="59"/>
  <c r="AK127" i="60"/>
  <c r="AL114" i="58"/>
  <c r="AK114" i="59"/>
  <c r="AK114" i="60"/>
  <c r="AL136" i="58"/>
  <c r="AK136" i="59"/>
  <c r="AK136" i="60"/>
  <c r="AL130" i="58"/>
  <c r="AK130" i="59"/>
  <c r="AK130" i="60"/>
  <c r="AL116" i="58"/>
  <c r="AK116" i="59"/>
  <c r="AK116" i="60"/>
  <c r="AL128" i="58"/>
  <c r="AK128" i="59"/>
  <c r="AK128" i="60"/>
  <c r="AL123" i="58"/>
  <c r="AK123" i="59"/>
  <c r="AK123" i="60"/>
  <c r="AL111" i="58"/>
  <c r="AK111" i="59"/>
  <c r="AK111" i="60"/>
  <c r="AL90" i="58"/>
  <c r="AK90" i="59"/>
  <c r="AK90" i="60"/>
  <c r="AL78" i="58"/>
  <c r="AK78" i="59"/>
  <c r="AK78" i="60"/>
  <c r="AL59" i="58"/>
  <c r="AK59" i="59"/>
  <c r="AK59" i="60"/>
  <c r="AL61" i="58"/>
  <c r="AK61" i="59"/>
  <c r="AK61" i="60"/>
  <c r="AL77" i="58"/>
  <c r="AK77" i="59"/>
  <c r="AK77" i="60"/>
  <c r="AL44" i="58"/>
  <c r="AK44" i="59"/>
  <c r="AK44" i="60"/>
  <c r="AL38" i="58"/>
  <c r="AK38" i="59"/>
  <c r="AK38" i="60"/>
  <c r="AL188" i="58"/>
  <c r="AK188" i="59"/>
  <c r="AK188" i="60"/>
  <c r="AL190" i="58"/>
  <c r="AK190" i="59"/>
  <c r="AK190" i="60"/>
  <c r="AL182" i="58"/>
  <c r="AL181" i="58"/>
  <c r="AL167" i="58"/>
  <c r="AK167" i="59"/>
  <c r="AK167" i="60"/>
  <c r="AL161" i="58"/>
  <c r="AK161" i="59"/>
  <c r="AK161" i="60"/>
  <c r="AL154" i="58"/>
  <c r="AK154" i="59"/>
  <c r="AK154" i="60"/>
  <c r="AL132" i="58"/>
  <c r="AK132" i="59"/>
  <c r="AK132" i="60"/>
  <c r="AL113" i="58"/>
  <c r="AK113" i="59"/>
  <c r="AK113" i="60"/>
  <c r="AL84" i="58"/>
  <c r="AL134" i="58"/>
  <c r="AL142" i="58"/>
  <c r="AK142" i="59"/>
  <c r="AK142" i="60"/>
  <c r="AL135" i="58"/>
  <c r="AK135" i="59"/>
  <c r="AK135" i="60"/>
  <c r="AL138" i="58"/>
  <c r="AK138" i="59"/>
  <c r="AK138" i="60"/>
  <c r="AL107" i="58"/>
  <c r="AK107" i="59"/>
  <c r="AK107" i="60"/>
  <c r="AL120" i="58"/>
  <c r="AK120" i="59"/>
  <c r="AK120" i="60"/>
  <c r="AL95" i="58"/>
  <c r="AK95" i="59"/>
  <c r="AK95" i="60"/>
  <c r="AL94" i="58"/>
  <c r="AK94" i="59"/>
  <c r="AK94" i="60"/>
  <c r="AL68" i="58"/>
  <c r="AK68" i="59"/>
  <c r="AK68" i="60"/>
  <c r="AL85" i="58"/>
  <c r="AK85" i="59"/>
  <c r="AK85" i="60"/>
  <c r="AL184" i="58"/>
  <c r="AL178" i="58"/>
  <c r="AL152" i="58"/>
  <c r="AK152" i="59"/>
  <c r="AK152" i="60"/>
  <c r="AL117" i="58"/>
  <c r="AK117" i="59"/>
  <c r="AK117" i="60"/>
  <c r="AL176" i="58"/>
  <c r="AL162" i="58"/>
  <c r="AK162" i="59"/>
  <c r="AK162" i="60"/>
  <c r="AL126" i="58"/>
  <c r="AK126" i="59"/>
  <c r="AK126" i="60"/>
  <c r="AL149" i="58"/>
  <c r="AK149" i="59"/>
  <c r="AK149" i="60"/>
  <c r="AL140" i="58"/>
  <c r="AK140" i="59"/>
  <c r="AK140" i="60"/>
  <c r="AL100" i="58"/>
  <c r="AK100" i="59"/>
  <c r="AK100" i="60"/>
  <c r="AL108" i="58"/>
  <c r="AK108" i="59"/>
  <c r="AK108" i="60"/>
  <c r="AL115" i="58"/>
  <c r="AK115" i="59"/>
  <c r="AK115" i="60"/>
  <c r="AL165" i="58"/>
  <c r="AL173" i="58"/>
  <c r="AK173" i="59"/>
  <c r="AK173" i="60"/>
  <c r="AL170" i="58"/>
  <c r="AK170" i="59"/>
  <c r="AK170" i="60"/>
  <c r="AL171" i="58"/>
  <c r="AL169" i="58"/>
  <c r="AK169" i="59"/>
  <c r="AK169" i="60"/>
  <c r="AL133" i="58"/>
  <c r="AK133" i="59"/>
  <c r="AK133" i="60"/>
  <c r="AL177" i="58"/>
  <c r="AL185" i="58"/>
  <c r="AK185" i="59"/>
  <c r="AK185" i="60"/>
  <c r="AL125" i="58"/>
  <c r="AK125" i="59"/>
  <c r="AK125" i="60"/>
  <c r="AL97" i="58"/>
  <c r="AK97" i="59"/>
  <c r="AK97" i="60"/>
  <c r="AL89" i="58"/>
  <c r="AK89" i="59"/>
  <c r="AK89" i="60"/>
  <c r="AL65" i="58"/>
  <c r="AK65" i="59"/>
  <c r="AK65" i="60"/>
  <c r="AL42" i="58"/>
  <c r="AL16" i="58"/>
  <c r="AK16" i="59"/>
  <c r="AK16" i="60"/>
  <c r="AL24" i="58"/>
  <c r="AK24" i="59"/>
  <c r="AK24" i="60"/>
  <c r="AL3" i="58"/>
  <c r="AL4" i="58"/>
  <c r="AK4" i="59"/>
  <c r="AK4" i="60"/>
  <c r="AL139" i="58"/>
  <c r="AK139" i="59"/>
  <c r="AK139" i="60"/>
  <c r="AL99" i="58"/>
  <c r="AK99" i="59"/>
  <c r="AK99" i="60"/>
  <c r="AL13" i="58"/>
  <c r="AK13" i="59"/>
  <c r="AK13" i="60"/>
  <c r="AL180" i="58"/>
  <c r="AL189" i="58"/>
  <c r="AK189" i="59"/>
  <c r="AK189" i="60"/>
  <c r="AL146" i="58"/>
  <c r="AK146" i="59"/>
  <c r="AK146" i="60"/>
  <c r="AL147" i="58"/>
  <c r="AK147" i="59"/>
  <c r="AK147" i="60"/>
  <c r="AL91" i="58"/>
  <c r="AK91" i="59"/>
  <c r="AK91" i="60"/>
  <c r="AL93" i="58"/>
  <c r="AK93" i="59"/>
  <c r="AK93" i="60"/>
  <c r="AL66" i="58"/>
  <c r="AL62" i="58"/>
  <c r="AK62" i="59"/>
  <c r="AK62" i="60"/>
  <c r="AL43" i="58"/>
  <c r="AK43" i="59"/>
  <c r="AK43" i="60"/>
  <c r="AL36" i="58"/>
  <c r="AK36" i="59"/>
  <c r="AK36" i="60"/>
  <c r="AL23" i="58"/>
  <c r="AK23" i="59"/>
  <c r="AK23" i="60"/>
  <c r="AL9" i="58"/>
  <c r="AK9" i="59"/>
  <c r="AK9" i="60"/>
  <c r="AL88" i="58"/>
  <c r="AK88" i="59"/>
  <c r="AK88" i="60"/>
  <c r="AL71" i="58"/>
  <c r="AK71" i="59"/>
  <c r="AK71" i="60"/>
  <c r="AL60" i="58"/>
  <c r="AK60" i="59"/>
  <c r="AK60" i="60"/>
  <c r="AL57" i="58"/>
  <c r="AK57" i="59"/>
  <c r="AK57" i="60"/>
  <c r="AL32" i="58"/>
  <c r="AK32" i="59"/>
  <c r="AK32" i="60"/>
  <c r="AL183" i="58"/>
  <c r="AL153" i="58"/>
  <c r="AK153" i="59"/>
  <c r="AK153" i="60"/>
  <c r="AL118" i="58"/>
  <c r="AK118" i="59"/>
  <c r="AK118" i="60"/>
  <c r="AL96" i="58"/>
  <c r="AK96" i="59"/>
  <c r="AK96" i="60"/>
  <c r="AL73" i="58"/>
  <c r="AK73" i="59"/>
  <c r="AK73" i="60"/>
  <c r="AL87" i="58"/>
  <c r="AK87" i="59"/>
  <c r="AK87" i="60"/>
  <c r="AL58" i="58"/>
  <c r="AK58" i="59"/>
  <c r="AK58" i="60"/>
  <c r="AL56" i="58"/>
  <c r="AK56" i="59"/>
  <c r="AK56" i="60"/>
  <c r="AL46" i="58"/>
  <c r="AK46" i="59"/>
  <c r="AK46" i="60"/>
  <c r="AL45" i="58"/>
  <c r="AK45" i="59"/>
  <c r="AK45" i="60"/>
  <c r="AL47" i="58"/>
  <c r="AK47" i="59"/>
  <c r="AK47" i="60"/>
  <c r="AL26" i="58"/>
  <c r="AK26" i="59"/>
  <c r="AK26" i="60"/>
  <c r="AL29" i="58"/>
  <c r="AK29" i="59"/>
  <c r="AK29" i="60"/>
  <c r="AL144" i="58"/>
  <c r="AK144" i="59"/>
  <c r="AK144" i="60"/>
  <c r="AL76" i="58"/>
  <c r="AK76" i="59"/>
  <c r="AK76" i="60"/>
  <c r="AL143" i="58"/>
  <c r="AK143" i="59"/>
  <c r="AK143" i="60"/>
  <c r="AL104" i="58"/>
  <c r="AL119" i="58"/>
  <c r="AK119" i="59"/>
  <c r="AK119" i="60"/>
  <c r="AL102" i="58"/>
  <c r="AK102" i="59"/>
  <c r="AK102" i="60"/>
  <c r="AL53" i="58"/>
  <c r="AK53" i="59"/>
  <c r="AK53" i="60"/>
  <c r="AL64" i="58"/>
  <c r="AK64" i="59"/>
  <c r="AK64" i="60"/>
  <c r="AL74" i="58"/>
  <c r="AK74" i="59"/>
  <c r="AK74" i="60"/>
  <c r="AL50" i="58"/>
  <c r="AK50" i="59"/>
  <c r="AK50" i="60"/>
  <c r="AL54" i="58"/>
  <c r="AK54" i="59"/>
  <c r="AK54" i="60"/>
  <c r="AL48" i="58"/>
  <c r="AK48" i="59"/>
  <c r="AK48" i="60"/>
  <c r="AL40" i="58"/>
  <c r="AK40" i="59"/>
  <c r="AK40" i="60"/>
  <c r="AL25" i="58"/>
  <c r="AK25" i="59"/>
  <c r="AK25" i="60"/>
  <c r="AL34" i="58"/>
  <c r="AK34" i="59"/>
  <c r="AK34" i="60"/>
  <c r="AL19" i="58"/>
  <c r="AK19" i="59"/>
  <c r="AK19" i="60"/>
  <c r="AL15" i="58"/>
  <c r="AK15" i="59"/>
  <c r="AK15" i="60"/>
  <c r="AL11" i="58"/>
  <c r="AK11" i="59"/>
  <c r="AK11" i="60"/>
  <c r="AL7" i="58"/>
  <c r="AK7" i="59"/>
  <c r="AK7" i="60"/>
  <c r="AL31" i="58"/>
  <c r="AK31" i="59"/>
  <c r="AK31" i="60"/>
  <c r="AL186" i="58"/>
  <c r="AL156" i="58"/>
  <c r="AK156" i="59"/>
  <c r="AK156" i="60"/>
  <c r="AL166" i="58"/>
  <c r="AK166" i="59"/>
  <c r="AK166" i="60"/>
  <c r="AL112" i="58"/>
  <c r="AK112" i="59"/>
  <c r="AK112" i="60"/>
  <c r="AL110" i="58"/>
  <c r="AK110" i="59"/>
  <c r="AK110" i="60"/>
  <c r="AL105" i="58"/>
  <c r="AK105" i="59"/>
  <c r="AK105" i="60"/>
  <c r="AL86" i="58"/>
  <c r="AK86" i="59"/>
  <c r="AK86" i="60"/>
  <c r="AL82" i="58"/>
  <c r="AK82" i="59"/>
  <c r="AK82" i="60"/>
  <c r="AL69" i="58"/>
  <c r="AK69" i="59"/>
  <c r="AK69" i="60"/>
  <c r="AL63" i="58"/>
  <c r="AK63" i="59"/>
  <c r="AK63" i="60"/>
  <c r="AL80" i="58"/>
  <c r="AK80" i="59"/>
  <c r="AK80" i="60"/>
  <c r="AL51" i="58"/>
  <c r="AK51" i="59"/>
  <c r="AK51" i="60"/>
  <c r="AL49" i="58"/>
  <c r="AK49" i="59"/>
  <c r="AK49" i="60"/>
  <c r="AL21" i="58"/>
  <c r="AK21" i="59"/>
  <c r="AK21" i="60"/>
  <c r="AL6" i="58"/>
  <c r="AK6" i="59"/>
  <c r="AK6" i="60"/>
  <c r="AL14" i="58"/>
  <c r="AK14" i="59"/>
  <c r="AK14" i="60"/>
  <c r="AL191" i="58"/>
  <c r="AK191" i="59"/>
  <c r="AK191" i="60"/>
  <c r="AL17" i="58"/>
  <c r="AL151" i="58"/>
  <c r="AK151" i="59"/>
  <c r="AK151" i="60"/>
  <c r="AL41" i="58"/>
  <c r="AK41" i="59"/>
  <c r="AK41" i="60"/>
  <c r="AL124" i="58"/>
  <c r="AK124" i="59"/>
  <c r="AK124" i="60"/>
  <c r="AL37" i="58"/>
  <c r="AK37" i="59"/>
  <c r="AK37" i="60"/>
  <c r="AL22" i="58"/>
  <c r="AK22" i="59"/>
  <c r="AK22" i="60"/>
  <c r="AL33" i="58"/>
  <c r="AK33" i="59"/>
  <c r="AK33" i="60"/>
  <c r="AL145" i="58"/>
  <c r="AK145" i="59"/>
  <c r="AK145" i="60"/>
  <c r="AL103" i="58"/>
  <c r="AK103" i="59"/>
  <c r="AK103" i="60"/>
  <c r="AL81" i="58"/>
  <c r="AK81" i="59"/>
  <c r="AK81" i="60"/>
  <c r="AL70" i="58"/>
  <c r="AK70" i="59"/>
  <c r="AK70" i="60"/>
  <c r="AL75" i="58"/>
  <c r="AK75" i="59"/>
  <c r="AK75" i="60"/>
  <c r="AL27" i="58"/>
  <c r="AK27" i="59"/>
  <c r="AK27" i="60"/>
  <c r="AL79" i="58"/>
  <c r="AK79" i="59"/>
  <c r="AK79" i="60"/>
  <c r="AL141" i="58"/>
  <c r="AK141" i="59"/>
  <c r="AK141" i="60"/>
  <c r="AL18" i="58"/>
  <c r="AK18" i="59"/>
  <c r="AK18" i="60"/>
  <c r="AL148" i="58"/>
  <c r="AK148" i="59"/>
  <c r="AK148" i="60"/>
  <c r="AL72" i="58"/>
  <c r="AK72" i="59"/>
  <c r="AK72" i="60"/>
  <c r="AL129" i="58"/>
  <c r="AK129" i="59"/>
  <c r="AK129" i="60"/>
  <c r="AI66" i="60"/>
  <c r="AA38" i="56"/>
  <c r="AI104" i="60"/>
  <c r="AB8" i="55"/>
  <c r="AH216" i="58"/>
  <c r="AI213" i="58"/>
  <c r="AE372" i="59"/>
  <c r="AE375" i="59"/>
  <c r="AE377" i="59"/>
  <c r="X11" i="55"/>
  <c r="X13" i="55"/>
  <c r="Y10" i="55"/>
  <c r="W16" i="55"/>
  <c r="W15" i="55"/>
  <c r="W14" i="55"/>
  <c r="X10" i="55"/>
  <c r="AM221" i="58"/>
  <c r="AN218" i="58"/>
  <c r="AE376" i="59"/>
  <c r="AC8" i="55"/>
  <c r="AK178" i="59"/>
  <c r="AK178" i="60"/>
  <c r="AK364" i="59"/>
  <c r="AK84" i="59"/>
  <c r="AC13" i="56"/>
  <c r="AK181" i="59"/>
  <c r="AK181" i="60"/>
  <c r="AK367" i="59"/>
  <c r="AN1" i="58"/>
  <c r="AL1" i="59"/>
  <c r="AM14" i="58"/>
  <c r="AL14" i="59"/>
  <c r="AL14" i="60"/>
  <c r="AM29" i="58"/>
  <c r="AL29" i="59"/>
  <c r="AL29" i="60"/>
  <c r="AM32" i="58"/>
  <c r="AL32" i="59"/>
  <c r="AL32" i="60"/>
  <c r="AM28" i="58"/>
  <c r="AL28" i="59"/>
  <c r="AL28" i="60"/>
  <c r="AM35" i="58"/>
  <c r="AL35" i="59"/>
  <c r="AL35" i="60"/>
  <c r="AM31" i="58"/>
  <c r="AL31" i="59"/>
  <c r="AL31" i="60"/>
  <c r="AM34" i="58"/>
  <c r="AL34" i="59"/>
  <c r="AL34" i="60"/>
  <c r="AM36" i="58"/>
  <c r="AL36" i="59"/>
  <c r="AL36" i="60"/>
  <c r="AM47" i="58"/>
  <c r="AL47" i="59"/>
  <c r="AL47" i="60"/>
  <c r="AM48" i="58"/>
  <c r="AL48" i="59"/>
  <c r="AL48" i="60"/>
  <c r="AM54" i="58"/>
  <c r="AL54" i="59"/>
  <c r="AL54" i="60"/>
  <c r="AM74" i="58"/>
  <c r="AL74" i="59"/>
  <c r="AL74" i="60"/>
  <c r="AM77" i="58"/>
  <c r="AL77" i="59"/>
  <c r="AL77" i="60"/>
  <c r="AM80" i="58"/>
  <c r="AL80" i="59"/>
  <c r="AL80" i="60"/>
  <c r="AM85" i="58"/>
  <c r="AL85" i="59"/>
  <c r="AL85" i="60"/>
  <c r="AM96" i="58"/>
  <c r="AL96" i="59"/>
  <c r="AL96" i="60"/>
  <c r="AM93" i="58"/>
  <c r="AL93" i="59"/>
  <c r="AL93" i="60"/>
  <c r="AM87" i="58"/>
  <c r="AL87" i="59"/>
  <c r="AL87" i="60"/>
  <c r="AM105" i="58"/>
  <c r="AL105" i="59"/>
  <c r="AL105" i="60"/>
  <c r="AM123" i="58"/>
  <c r="AL123" i="59"/>
  <c r="AL123" i="60"/>
  <c r="AM128" i="58"/>
  <c r="AL128" i="59"/>
  <c r="AL128" i="60"/>
  <c r="AM135" i="58"/>
  <c r="AL135" i="59"/>
  <c r="AL135" i="60"/>
  <c r="AM142" i="58"/>
  <c r="AL142" i="59"/>
  <c r="AL142" i="60"/>
  <c r="AM156" i="58"/>
  <c r="AL156" i="59"/>
  <c r="AL156" i="60"/>
  <c r="AM164" i="58"/>
  <c r="AL164" i="59"/>
  <c r="AL164" i="60"/>
  <c r="AM168" i="58"/>
  <c r="AL168" i="59"/>
  <c r="AL168" i="60"/>
  <c r="AM159" i="58"/>
  <c r="AL159" i="59"/>
  <c r="AL159" i="60"/>
  <c r="AM195" i="58"/>
  <c r="AM161" i="58"/>
  <c r="AL161" i="59"/>
  <c r="AL161" i="60"/>
  <c r="AM170" i="58"/>
  <c r="AL170" i="59"/>
  <c r="AL170" i="60"/>
  <c r="AL1" i="60"/>
  <c r="AM229" i="58"/>
  <c r="AM226" i="58"/>
  <c r="AM228" i="58"/>
  <c r="AM180" i="58"/>
  <c r="AM191" i="58"/>
  <c r="AL191" i="59"/>
  <c r="AL191" i="60"/>
  <c r="AM190" i="58"/>
  <c r="AL190" i="59"/>
  <c r="AL190" i="60"/>
  <c r="AM176" i="58"/>
  <c r="AM187" i="58"/>
  <c r="AL187" i="59"/>
  <c r="AL187" i="60"/>
  <c r="AM179" i="58"/>
  <c r="AM175" i="58"/>
  <c r="AM167" i="58"/>
  <c r="AL167" i="59"/>
  <c r="AL167" i="60"/>
  <c r="AM166" i="58"/>
  <c r="AL166" i="59"/>
  <c r="AL166" i="60"/>
  <c r="AM160" i="58"/>
  <c r="AL160" i="59"/>
  <c r="AL160" i="60"/>
  <c r="AM172" i="58"/>
  <c r="AL172" i="59"/>
  <c r="AL172" i="60"/>
  <c r="AM157" i="58"/>
  <c r="AL157" i="59"/>
  <c r="AL157" i="60"/>
  <c r="AM84" i="58"/>
  <c r="AM136" i="58"/>
  <c r="AL136" i="59"/>
  <c r="AL136" i="60"/>
  <c r="AM118" i="58"/>
  <c r="AL118" i="59"/>
  <c r="AL118" i="60"/>
  <c r="AM110" i="58"/>
  <c r="AL110" i="59"/>
  <c r="AL110" i="60"/>
  <c r="AM119" i="58"/>
  <c r="AL119" i="59"/>
  <c r="AL119" i="60"/>
  <c r="AM76" i="58"/>
  <c r="AL76" i="59"/>
  <c r="AL76" i="60"/>
  <c r="AM106" i="58"/>
  <c r="AL106" i="59"/>
  <c r="AL106" i="60"/>
  <c r="AM92" i="58"/>
  <c r="AL92" i="59"/>
  <c r="AL92" i="60"/>
  <c r="AM86" i="58"/>
  <c r="AL86" i="59"/>
  <c r="AL86" i="60"/>
  <c r="AM82" i="58"/>
  <c r="AL82" i="59"/>
  <c r="AL82" i="60"/>
  <c r="AM53" i="58"/>
  <c r="AL53" i="59"/>
  <c r="AL53" i="60"/>
  <c r="AM67" i="58"/>
  <c r="AL67" i="59"/>
  <c r="AL67" i="60"/>
  <c r="AM60" i="58"/>
  <c r="AL60" i="59"/>
  <c r="AL60" i="60"/>
  <c r="AM50" i="58"/>
  <c r="AL50" i="59"/>
  <c r="AL50" i="60"/>
  <c r="AM46" i="58"/>
  <c r="AL46" i="59"/>
  <c r="AL46" i="60"/>
  <c r="AM40" i="58"/>
  <c r="AL40" i="59"/>
  <c r="AL40" i="60"/>
  <c r="AM25" i="58"/>
  <c r="AL25" i="59"/>
  <c r="AL25" i="60"/>
  <c r="AM152" i="58"/>
  <c r="AL152" i="59"/>
  <c r="AL152" i="60"/>
  <c r="AM173" i="58"/>
  <c r="AL173" i="59"/>
  <c r="AL173" i="60"/>
  <c r="AM182" i="58"/>
  <c r="AM181" i="58"/>
  <c r="AM171" i="58"/>
  <c r="AM154" i="58"/>
  <c r="AL154" i="59"/>
  <c r="AL154" i="60"/>
  <c r="AM138" i="58"/>
  <c r="AL138" i="59"/>
  <c r="AL138" i="60"/>
  <c r="AM132" i="58"/>
  <c r="AL132" i="59"/>
  <c r="AL132" i="60"/>
  <c r="AM139" i="58"/>
  <c r="AL139" i="59"/>
  <c r="AL139" i="60"/>
  <c r="AM73" i="58"/>
  <c r="AL73" i="59"/>
  <c r="AL73" i="60"/>
  <c r="AM95" i="58"/>
  <c r="AL95" i="59"/>
  <c r="AL95" i="60"/>
  <c r="AM109" i="58"/>
  <c r="AL109" i="59"/>
  <c r="AM94" i="58"/>
  <c r="AL94" i="59"/>
  <c r="AL94" i="60"/>
  <c r="AM68" i="58"/>
  <c r="AL68" i="59"/>
  <c r="AL68" i="60"/>
  <c r="AM59" i="58"/>
  <c r="AL59" i="59"/>
  <c r="AL59" i="60"/>
  <c r="AM165" i="58"/>
  <c r="AM184" i="58"/>
  <c r="AM188" i="58"/>
  <c r="AL188" i="59"/>
  <c r="AL188" i="60"/>
  <c r="AM178" i="58"/>
  <c r="AM153" i="58"/>
  <c r="AL153" i="59"/>
  <c r="AL153" i="60"/>
  <c r="AM169" i="58"/>
  <c r="AL169" i="59"/>
  <c r="AL169" i="60"/>
  <c r="AM147" i="58"/>
  <c r="AL147" i="59"/>
  <c r="AL147" i="60"/>
  <c r="AM125" i="58"/>
  <c r="AL125" i="59"/>
  <c r="AL125" i="60"/>
  <c r="AM113" i="58"/>
  <c r="AL113" i="59"/>
  <c r="AL113" i="60"/>
  <c r="AM140" i="58"/>
  <c r="AL140" i="59"/>
  <c r="AL140" i="60"/>
  <c r="AM137" i="58"/>
  <c r="AL137" i="59"/>
  <c r="AL137" i="60"/>
  <c r="AM131" i="58"/>
  <c r="AL131" i="59"/>
  <c r="AL131" i="60"/>
  <c r="AM143" i="58"/>
  <c r="AL143" i="59"/>
  <c r="AL143" i="60"/>
  <c r="AM114" i="58"/>
  <c r="AL114" i="59"/>
  <c r="AL114" i="60"/>
  <c r="AM134" i="58"/>
  <c r="AM111" i="58"/>
  <c r="AL111" i="59"/>
  <c r="AL111" i="60"/>
  <c r="AM186" i="58"/>
  <c r="AM185" i="58"/>
  <c r="AL185" i="59"/>
  <c r="AL185" i="60"/>
  <c r="AM183" i="58"/>
  <c r="AM163" i="58"/>
  <c r="AL163" i="59"/>
  <c r="AL163" i="60"/>
  <c r="AM150" i="58"/>
  <c r="AL150" i="59"/>
  <c r="AL150" i="60"/>
  <c r="AM149" i="58"/>
  <c r="AL149" i="59"/>
  <c r="AL149" i="60"/>
  <c r="AM133" i="58"/>
  <c r="AL133" i="59"/>
  <c r="AL133" i="60"/>
  <c r="AM122" i="58"/>
  <c r="AL122" i="59"/>
  <c r="AL122" i="60"/>
  <c r="AM144" i="58"/>
  <c r="AL144" i="59"/>
  <c r="AL144" i="60"/>
  <c r="AM189" i="58"/>
  <c r="AL189" i="59"/>
  <c r="AL189" i="60"/>
  <c r="AM146" i="58"/>
  <c r="AL146" i="59"/>
  <c r="AL146" i="60"/>
  <c r="AM126" i="58"/>
  <c r="AL126" i="59"/>
  <c r="AL126" i="60"/>
  <c r="AM127" i="58"/>
  <c r="AL127" i="59"/>
  <c r="AL127" i="60"/>
  <c r="AM116" i="58"/>
  <c r="AL116" i="59"/>
  <c r="AL116" i="60"/>
  <c r="AM100" i="58"/>
  <c r="AL100" i="59"/>
  <c r="AL100" i="60"/>
  <c r="AM107" i="58"/>
  <c r="AL107" i="59"/>
  <c r="AL107" i="60"/>
  <c r="AM91" i="58"/>
  <c r="AL91" i="59"/>
  <c r="AL91" i="60"/>
  <c r="AM101" i="58"/>
  <c r="AL101" i="59"/>
  <c r="AL101" i="60"/>
  <c r="AM88" i="58"/>
  <c r="AL88" i="59"/>
  <c r="AL88" i="60"/>
  <c r="AM58" i="58"/>
  <c r="AL58" i="59"/>
  <c r="AL58" i="60"/>
  <c r="AM24" i="58"/>
  <c r="AL24" i="59"/>
  <c r="AL24" i="60"/>
  <c r="AM21" i="58"/>
  <c r="AL21" i="59"/>
  <c r="AL21" i="60"/>
  <c r="AM20" i="58"/>
  <c r="AL20" i="59"/>
  <c r="AL20" i="60"/>
  <c r="AM12" i="58"/>
  <c r="AL12" i="59"/>
  <c r="AL12" i="60"/>
  <c r="AM3" i="58"/>
  <c r="AM155" i="58"/>
  <c r="AL155" i="59"/>
  <c r="AL155" i="60"/>
  <c r="AM158" i="58"/>
  <c r="AL158" i="59"/>
  <c r="AL158" i="60"/>
  <c r="AM104" i="58"/>
  <c r="AM115" i="58"/>
  <c r="AL115" i="59"/>
  <c r="AL115" i="60"/>
  <c r="AM66" i="58"/>
  <c r="AM62" i="58"/>
  <c r="AL62" i="59"/>
  <c r="AL62" i="60"/>
  <c r="AM43" i="58"/>
  <c r="AL43" i="59"/>
  <c r="AL43" i="60"/>
  <c r="AM49" i="58"/>
  <c r="AL49" i="59"/>
  <c r="AL49" i="60"/>
  <c r="AM11" i="58"/>
  <c r="AL11" i="59"/>
  <c r="AL11" i="60"/>
  <c r="AM5" i="58"/>
  <c r="AL5" i="59"/>
  <c r="AL5" i="60"/>
  <c r="AM52" i="58"/>
  <c r="AL52" i="59"/>
  <c r="AL52" i="60"/>
  <c r="AM8" i="58"/>
  <c r="AL8" i="59"/>
  <c r="AL8" i="60"/>
  <c r="AM121" i="58"/>
  <c r="AL121" i="59"/>
  <c r="AL121" i="60"/>
  <c r="AM63" i="58"/>
  <c r="AL63" i="59"/>
  <c r="AL63" i="60"/>
  <c r="AM65" i="58"/>
  <c r="AL65" i="59"/>
  <c r="AL65" i="60"/>
  <c r="AM44" i="58"/>
  <c r="AL44" i="59"/>
  <c r="AL44" i="60"/>
  <c r="AM42" i="58"/>
  <c r="AM38" i="58"/>
  <c r="AL38" i="59"/>
  <c r="AL38" i="60"/>
  <c r="AM16" i="58"/>
  <c r="AL16" i="59"/>
  <c r="AL16" i="60"/>
  <c r="AM39" i="58"/>
  <c r="AL39" i="59"/>
  <c r="AL39" i="60"/>
  <c r="AM13" i="58"/>
  <c r="AL13" i="59"/>
  <c r="AL13" i="60"/>
  <c r="AM10" i="58"/>
  <c r="AM97" i="58"/>
  <c r="AL97" i="59"/>
  <c r="AL97" i="60"/>
  <c r="AM78" i="58"/>
  <c r="AL78" i="59"/>
  <c r="AL78" i="60"/>
  <c r="AM61" i="58"/>
  <c r="AL61" i="59"/>
  <c r="AL61" i="60"/>
  <c r="AM51" i="58"/>
  <c r="AL51" i="59"/>
  <c r="AL51" i="60"/>
  <c r="AM19" i="58"/>
  <c r="AL19" i="59"/>
  <c r="AL19" i="60"/>
  <c r="AM117" i="58"/>
  <c r="AL117" i="59"/>
  <c r="AL117" i="60"/>
  <c r="AM162" i="58"/>
  <c r="AL162" i="59"/>
  <c r="AL162" i="60"/>
  <c r="AM102" i="58"/>
  <c r="AL102" i="59"/>
  <c r="AL102" i="60"/>
  <c r="AM120" i="58"/>
  <c r="AL120" i="59"/>
  <c r="AL120" i="60"/>
  <c r="AM112" i="58"/>
  <c r="AL112" i="59"/>
  <c r="AL112" i="60"/>
  <c r="AM108" i="58"/>
  <c r="AL108" i="59"/>
  <c r="AL108" i="60"/>
  <c r="AM99" i="58"/>
  <c r="AL99" i="59"/>
  <c r="AL99" i="60"/>
  <c r="AM89" i="58"/>
  <c r="AL89" i="59"/>
  <c r="AL89" i="60"/>
  <c r="AM83" i="58"/>
  <c r="AL83" i="59"/>
  <c r="AL83" i="60"/>
  <c r="AM64" i="58"/>
  <c r="AL64" i="59"/>
  <c r="AL64" i="60"/>
  <c r="AM56" i="58"/>
  <c r="AL56" i="59"/>
  <c r="AL56" i="60"/>
  <c r="AM57" i="58"/>
  <c r="AL57" i="59"/>
  <c r="AL57" i="60"/>
  <c r="AM45" i="58"/>
  <c r="AL45" i="59"/>
  <c r="AL45" i="60"/>
  <c r="AM23" i="58"/>
  <c r="AL23" i="59"/>
  <c r="AL23" i="60"/>
  <c r="AM15" i="58"/>
  <c r="AL15" i="59"/>
  <c r="AL15" i="60"/>
  <c r="AM6" i="58"/>
  <c r="AL6" i="59"/>
  <c r="AL6" i="60"/>
  <c r="AM9" i="58"/>
  <c r="AL9" i="59"/>
  <c r="AL9" i="60"/>
  <c r="AM4" i="58"/>
  <c r="AL4" i="59"/>
  <c r="AL4" i="60"/>
  <c r="AM177" i="58"/>
  <c r="AM130" i="58"/>
  <c r="AL130" i="59"/>
  <c r="AL130" i="60"/>
  <c r="AM98" i="58"/>
  <c r="AL98" i="59"/>
  <c r="AL98" i="60"/>
  <c r="AM90" i="58"/>
  <c r="AL90" i="59"/>
  <c r="AL90" i="60"/>
  <c r="AM71" i="58"/>
  <c r="AL71" i="59"/>
  <c r="AL71" i="60"/>
  <c r="AM69" i="58"/>
  <c r="AL69" i="59"/>
  <c r="AL69" i="60"/>
  <c r="AM55" i="58"/>
  <c r="AL55" i="59"/>
  <c r="AL55" i="60"/>
  <c r="AM26" i="58"/>
  <c r="AL26" i="59"/>
  <c r="AL26" i="60"/>
  <c r="AM30" i="58"/>
  <c r="AL30" i="59"/>
  <c r="AL30" i="60"/>
  <c r="AM7" i="58"/>
  <c r="AL7" i="59"/>
  <c r="AL7" i="60"/>
  <c r="AM174" i="58"/>
  <c r="AL174" i="59"/>
  <c r="AL174" i="60"/>
  <c r="AM41" i="58"/>
  <c r="AL41" i="59"/>
  <c r="AL41" i="60"/>
  <c r="AM70" i="58"/>
  <c r="AL70" i="59"/>
  <c r="AL70" i="60"/>
  <c r="AM18" i="58"/>
  <c r="AL18" i="59"/>
  <c r="AL18" i="60"/>
  <c r="AM151" i="58"/>
  <c r="AL151" i="59"/>
  <c r="AL151" i="60"/>
  <c r="AM103" i="58"/>
  <c r="AL103" i="59"/>
  <c r="AL103" i="60"/>
  <c r="AM141" i="58"/>
  <c r="AL141" i="59"/>
  <c r="AL141" i="60"/>
  <c r="AM81" i="58"/>
  <c r="AL81" i="59"/>
  <c r="AL81" i="60"/>
  <c r="AM148" i="58"/>
  <c r="AL148" i="59"/>
  <c r="AL148" i="60"/>
  <c r="AM79" i="58"/>
  <c r="AL79" i="59"/>
  <c r="AL79" i="60"/>
  <c r="AM17" i="58"/>
  <c r="AM22" i="58"/>
  <c r="AL22" i="59"/>
  <c r="AL22" i="60"/>
  <c r="AM33" i="58"/>
  <c r="AL33" i="59"/>
  <c r="AL33" i="60"/>
  <c r="AM72" i="58"/>
  <c r="AL72" i="59"/>
  <c r="AL72" i="60"/>
  <c r="AM27" i="58"/>
  <c r="AL27" i="59"/>
  <c r="AL27" i="60"/>
  <c r="AM124" i="58"/>
  <c r="AL124" i="59"/>
  <c r="AL124" i="60"/>
  <c r="AM37" i="58"/>
  <c r="AL37" i="59"/>
  <c r="AL37" i="60"/>
  <c r="AM129" i="58"/>
  <c r="AL129" i="59"/>
  <c r="AL129" i="60"/>
  <c r="AM75" i="58"/>
  <c r="AL75" i="59"/>
  <c r="AL75" i="60"/>
  <c r="AM145" i="58"/>
  <c r="AL145" i="59"/>
  <c r="AL145" i="60"/>
  <c r="Y49" i="56"/>
  <c r="AF197" i="59"/>
  <c r="AF198" i="59"/>
  <c r="AF372" i="59"/>
  <c r="AK42" i="59"/>
  <c r="AC11" i="56"/>
  <c r="AK177" i="59"/>
  <c r="AK177" i="60"/>
  <c r="AK363" i="59"/>
  <c r="AK165" i="59"/>
  <c r="AC5" i="56"/>
  <c r="AK184" i="59"/>
  <c r="AK184" i="60"/>
  <c r="AK370" i="59"/>
  <c r="AK182" i="59"/>
  <c r="AK182" i="60"/>
  <c r="AK368" i="59"/>
  <c r="AB4" i="55"/>
  <c r="AB19" i="56"/>
  <c r="AI194" i="60"/>
  <c r="AJ42" i="60"/>
  <c r="AB37" i="56"/>
  <c r="AJ10" i="60"/>
  <c r="AB34" i="56"/>
  <c r="Y21" i="55"/>
  <c r="AG196" i="59"/>
  <c r="AK183" i="59"/>
  <c r="AK183" i="60"/>
  <c r="AK369" i="59"/>
  <c r="AK175" i="59"/>
  <c r="AC16" i="56"/>
  <c r="AC5" i="55"/>
  <c r="AC20" i="56"/>
  <c r="AL209" i="58"/>
  <c r="AL210" i="58"/>
  <c r="AL211" i="58"/>
  <c r="AB18" i="56"/>
  <c r="AB25" i="56"/>
  <c r="AG193" i="60"/>
  <c r="AG195" i="60"/>
  <c r="AH3" i="60"/>
  <c r="AJ134" i="60"/>
  <c r="AB41" i="56"/>
  <c r="AJ17" i="60"/>
  <c r="AB35" i="56"/>
  <c r="AI216" i="58"/>
  <c r="AJ213" i="58"/>
  <c r="AK104" i="59"/>
  <c r="AC14" i="56"/>
  <c r="AK186" i="59"/>
  <c r="AC6" i="56"/>
  <c r="AK176" i="59"/>
  <c r="AK176" i="60"/>
  <c r="AK362" i="59"/>
  <c r="AK10" i="59"/>
  <c r="AC8" i="56"/>
  <c r="AB3" i="55"/>
  <c r="AK198" i="58"/>
  <c r="AK205" i="58"/>
  <c r="AG26" i="55"/>
  <c r="AG27" i="55"/>
  <c r="AJ84" i="60"/>
  <c r="AB39" i="56"/>
  <c r="AJ165" i="60"/>
  <c r="AB31" i="56"/>
  <c r="AA23" i="56"/>
  <c r="AK3" i="59"/>
  <c r="AL196" i="58"/>
  <c r="AL199" i="58"/>
  <c r="AL200" i="58"/>
  <c r="AL202" i="58"/>
  <c r="AL194" i="58"/>
  <c r="AL201" i="58"/>
  <c r="AL193" i="58"/>
  <c r="AC10" i="56"/>
  <c r="AC4" i="56"/>
  <c r="AL207" i="58"/>
  <c r="AK171" i="59"/>
  <c r="AC7" i="56"/>
  <c r="AJ175" i="60"/>
  <c r="AB42" i="56"/>
  <c r="AB6" i="55"/>
  <c r="AB22" i="55"/>
  <c r="AK214" i="58"/>
  <c r="AB21" i="56"/>
  <c r="Z9" i="55"/>
  <c r="AJ66" i="60"/>
  <c r="AB38" i="56"/>
  <c r="AJ171" i="60"/>
  <c r="AB33" i="56"/>
  <c r="AK17" i="59"/>
  <c r="AC9" i="56"/>
  <c r="AK66" i="59"/>
  <c r="AC12" i="56"/>
  <c r="AK180" i="59"/>
  <c r="AK180" i="60"/>
  <c r="AK366" i="59"/>
  <c r="AK134" i="59"/>
  <c r="AC15" i="56"/>
  <c r="AK179" i="59"/>
  <c r="AK179" i="60"/>
  <c r="AK365" i="59"/>
  <c r="AK203" i="58"/>
  <c r="AJ193" i="59"/>
  <c r="AB30" i="56"/>
  <c r="AB36" i="56"/>
  <c r="AJ186" i="60"/>
  <c r="AB32" i="56"/>
  <c r="X23" i="55"/>
  <c r="AC28" i="55"/>
  <c r="AH109" i="60"/>
  <c r="AH193" i="59"/>
  <c r="Z40" i="56"/>
  <c r="Z44" i="56"/>
  <c r="Z47" i="56"/>
  <c r="AI109" i="59"/>
  <c r="Z30" i="56"/>
  <c r="AJ104" i="60"/>
  <c r="AB40" i="56"/>
  <c r="Z49" i="56"/>
  <c r="AK17" i="60"/>
  <c r="AC35" i="56"/>
  <c r="AB44" i="56"/>
  <c r="AB47" i="56"/>
  <c r="AB7" i="55"/>
  <c r="AK186" i="60"/>
  <c r="AC32" i="56"/>
  <c r="AL177" i="59"/>
  <c r="AL177" i="60"/>
  <c r="AL363" i="59"/>
  <c r="AL10" i="59"/>
  <c r="AD8" i="56"/>
  <c r="AL134" i="59"/>
  <c r="AD15" i="56"/>
  <c r="Z21" i="55"/>
  <c r="AH196" i="59"/>
  <c r="AL104" i="59"/>
  <c r="AD14" i="56"/>
  <c r="AL184" i="59"/>
  <c r="AL184" i="60"/>
  <c r="AL370" i="59"/>
  <c r="AL171" i="59"/>
  <c r="AD7" i="56"/>
  <c r="AL176" i="59"/>
  <c r="AL176" i="60"/>
  <c r="AL362" i="59"/>
  <c r="AD8" i="55"/>
  <c r="AI109" i="60"/>
  <c r="AJ109" i="60"/>
  <c r="AK109" i="60"/>
  <c r="AL109" i="60"/>
  <c r="AI193" i="59"/>
  <c r="AA30" i="56"/>
  <c r="AA49" i="56"/>
  <c r="AA40" i="56"/>
  <c r="AA44" i="56"/>
  <c r="AA47" i="56"/>
  <c r="AK134" i="60"/>
  <c r="AC41" i="56"/>
  <c r="AK66" i="60"/>
  <c r="AC38" i="56"/>
  <c r="AL203" i="58"/>
  <c r="AK10" i="60"/>
  <c r="AC34" i="56"/>
  <c r="AK104" i="60"/>
  <c r="AC40" i="56"/>
  <c r="AG197" i="59"/>
  <c r="AG198" i="59"/>
  <c r="AK42" i="60"/>
  <c r="AC37" i="56"/>
  <c r="AL183" i="59"/>
  <c r="AL183" i="60"/>
  <c r="AL369" i="59"/>
  <c r="AL165" i="59"/>
  <c r="AD5" i="56"/>
  <c r="AL181" i="59"/>
  <c r="AL181" i="60"/>
  <c r="AL367" i="59"/>
  <c r="AC3" i="55"/>
  <c r="AL198" i="58"/>
  <c r="AL205" i="58"/>
  <c r="AH26" i="55"/>
  <c r="AH27" i="55"/>
  <c r="AL214" i="58"/>
  <c r="AC6" i="55"/>
  <c r="AC22" i="55"/>
  <c r="AC21" i="56"/>
  <c r="AH193" i="60"/>
  <c r="AH195" i="60"/>
  <c r="AI3" i="60"/>
  <c r="Y23" i="55"/>
  <c r="AD28" i="55"/>
  <c r="AC18" i="56"/>
  <c r="AC25" i="56"/>
  <c r="AF376" i="59"/>
  <c r="AF375" i="59"/>
  <c r="AF377" i="59"/>
  <c r="AL182" i="59"/>
  <c r="AL182" i="60"/>
  <c r="AL368" i="59"/>
  <c r="AK84" i="60"/>
  <c r="AC39" i="56"/>
  <c r="Y11" i="55"/>
  <c r="Y13" i="55"/>
  <c r="X16" i="55"/>
  <c r="X15" i="55"/>
  <c r="X14" i="55"/>
  <c r="AK193" i="59"/>
  <c r="AC30" i="56"/>
  <c r="AC36" i="56"/>
  <c r="AJ216" i="58"/>
  <c r="AK213" i="58"/>
  <c r="AG196" i="60"/>
  <c r="Y18" i="55"/>
  <c r="Y19" i="55"/>
  <c r="AK165" i="60"/>
  <c r="AC31" i="56"/>
  <c r="AL17" i="59"/>
  <c r="AD9" i="56"/>
  <c r="AL3" i="59"/>
  <c r="AM196" i="58"/>
  <c r="AM201" i="58"/>
  <c r="AM199" i="58"/>
  <c r="AM200" i="58"/>
  <c r="AM202" i="58"/>
  <c r="AM194" i="58"/>
  <c r="AM193" i="58"/>
  <c r="AD10" i="56"/>
  <c r="AM207" i="58"/>
  <c r="AD4" i="56"/>
  <c r="AL186" i="59"/>
  <c r="AD6" i="56"/>
  <c r="AL84" i="59"/>
  <c r="AD13" i="56"/>
  <c r="AL175" i="59"/>
  <c r="AD16" i="56"/>
  <c r="AL180" i="59"/>
  <c r="AL180" i="60"/>
  <c r="AL366" i="59"/>
  <c r="AM1" i="59"/>
  <c r="AO1" i="58"/>
  <c r="AN4" i="58"/>
  <c r="AM4" i="59"/>
  <c r="AM4" i="60"/>
  <c r="AN5" i="58"/>
  <c r="AM5" i="59"/>
  <c r="AM5" i="60"/>
  <c r="AN9" i="58"/>
  <c r="AM9" i="59"/>
  <c r="AM9" i="60"/>
  <c r="AN7" i="58"/>
  <c r="AM7" i="59"/>
  <c r="AM7" i="60"/>
  <c r="AN8" i="58"/>
  <c r="AM8" i="59"/>
  <c r="AM8" i="60"/>
  <c r="AN10" i="58"/>
  <c r="AN11" i="58"/>
  <c r="AM11" i="59"/>
  <c r="AM11" i="60"/>
  <c r="AN20" i="58"/>
  <c r="AM20" i="59"/>
  <c r="AM20" i="60"/>
  <c r="AN24" i="58"/>
  <c r="AM24" i="59"/>
  <c r="AM24" i="60"/>
  <c r="AN36" i="58"/>
  <c r="AM36" i="59"/>
  <c r="AM36" i="60"/>
  <c r="AN29" i="58"/>
  <c r="AM29" i="59"/>
  <c r="AM29" i="60"/>
  <c r="AN32" i="58"/>
  <c r="AM32" i="59"/>
  <c r="AM32" i="60"/>
  <c r="AN49" i="58"/>
  <c r="AM49" i="59"/>
  <c r="AM49" i="60"/>
  <c r="AN52" i="58"/>
  <c r="AM52" i="59"/>
  <c r="AM52" i="60"/>
  <c r="AN54" i="58"/>
  <c r="AM54" i="59"/>
  <c r="AM54" i="60"/>
  <c r="AN57" i="58"/>
  <c r="AM57" i="59"/>
  <c r="AM57" i="60"/>
  <c r="AN74" i="58"/>
  <c r="AM74" i="59"/>
  <c r="AM74" i="60"/>
  <c r="AN83" i="58"/>
  <c r="AM83" i="59"/>
  <c r="AM83" i="60"/>
  <c r="AN109" i="58"/>
  <c r="AM109" i="59"/>
  <c r="AN94" i="58"/>
  <c r="AM94" i="59"/>
  <c r="AM94" i="60"/>
  <c r="AN106" i="58"/>
  <c r="AM106" i="59"/>
  <c r="AM106" i="60"/>
  <c r="AN123" i="58"/>
  <c r="AM123" i="59"/>
  <c r="AM123" i="60"/>
  <c r="AN140" i="58"/>
  <c r="AM140" i="59"/>
  <c r="AM140" i="60"/>
  <c r="AN136" i="58"/>
  <c r="AM136" i="59"/>
  <c r="AM136" i="60"/>
  <c r="AN130" i="58"/>
  <c r="AM130" i="59"/>
  <c r="AM130" i="60"/>
  <c r="AN162" i="58"/>
  <c r="AM162" i="59"/>
  <c r="AM162" i="60"/>
  <c r="AN143" i="58"/>
  <c r="AM143" i="59"/>
  <c r="AM143" i="60"/>
  <c r="AN157" i="58"/>
  <c r="AM157" i="59"/>
  <c r="AM157" i="60"/>
  <c r="AN172" i="58"/>
  <c r="AM172" i="59"/>
  <c r="AM172" i="60"/>
  <c r="AN154" i="58"/>
  <c r="AM154" i="59"/>
  <c r="AM154" i="60"/>
  <c r="AN186" i="58"/>
  <c r="AN160" i="58"/>
  <c r="AM160" i="59"/>
  <c r="AM160" i="60"/>
  <c r="AN195" i="58"/>
  <c r="AN175" i="58"/>
  <c r="AN189" i="58"/>
  <c r="AM189" i="59"/>
  <c r="AM189" i="60"/>
  <c r="AN181" i="58"/>
  <c r="AN185" i="58"/>
  <c r="AM185" i="59"/>
  <c r="AM185" i="60"/>
  <c r="AN229" i="58"/>
  <c r="AN226" i="58"/>
  <c r="AN228" i="58"/>
  <c r="AM1" i="60"/>
  <c r="AN165" i="58"/>
  <c r="AN188" i="58"/>
  <c r="AM188" i="59"/>
  <c r="AM188" i="60"/>
  <c r="AN117" i="58"/>
  <c r="AM117" i="59"/>
  <c r="AM117" i="60"/>
  <c r="AN155" i="58"/>
  <c r="AM155" i="59"/>
  <c r="AM155" i="60"/>
  <c r="AN132" i="58"/>
  <c r="AM132" i="59"/>
  <c r="AM132" i="60"/>
  <c r="AN127" i="58"/>
  <c r="AM127" i="59"/>
  <c r="AM127" i="60"/>
  <c r="AN142" i="58"/>
  <c r="AM142" i="59"/>
  <c r="AM142" i="60"/>
  <c r="AN135" i="58"/>
  <c r="AM135" i="59"/>
  <c r="AM135" i="60"/>
  <c r="AN139" i="58"/>
  <c r="AM139" i="59"/>
  <c r="AM139" i="60"/>
  <c r="AN107" i="58"/>
  <c r="AM107" i="59"/>
  <c r="AM107" i="60"/>
  <c r="AN121" i="58"/>
  <c r="AM121" i="59"/>
  <c r="AM121" i="60"/>
  <c r="AN115" i="58"/>
  <c r="AM115" i="59"/>
  <c r="AM115" i="60"/>
  <c r="AN101" i="58"/>
  <c r="AM101" i="59"/>
  <c r="AM101" i="60"/>
  <c r="AN88" i="58"/>
  <c r="AM88" i="59"/>
  <c r="AM88" i="60"/>
  <c r="AN86" i="58"/>
  <c r="AM86" i="59"/>
  <c r="AM86" i="60"/>
  <c r="AN82" i="58"/>
  <c r="AM82" i="59"/>
  <c r="AM82" i="60"/>
  <c r="AN77" i="58"/>
  <c r="AM77" i="59"/>
  <c r="AM77" i="60"/>
  <c r="AN65" i="58"/>
  <c r="AM65" i="59"/>
  <c r="AM65" i="60"/>
  <c r="AN184" i="58"/>
  <c r="AN178" i="58"/>
  <c r="AN177" i="58"/>
  <c r="AN173" i="58"/>
  <c r="AM173" i="59"/>
  <c r="AM173" i="60"/>
  <c r="AN170" i="58"/>
  <c r="AM170" i="59"/>
  <c r="AM170" i="60"/>
  <c r="AN156" i="58"/>
  <c r="AM156" i="59"/>
  <c r="AM156" i="60"/>
  <c r="AN146" i="58"/>
  <c r="AM146" i="59"/>
  <c r="AM146" i="60"/>
  <c r="AN126" i="58"/>
  <c r="AM126" i="59"/>
  <c r="AM126" i="60"/>
  <c r="AN149" i="58"/>
  <c r="AM149" i="59"/>
  <c r="AM149" i="60"/>
  <c r="AN137" i="58"/>
  <c r="AM137" i="59"/>
  <c r="AM137" i="60"/>
  <c r="AN131" i="58"/>
  <c r="AM131" i="59"/>
  <c r="AM131" i="60"/>
  <c r="AN134" i="58"/>
  <c r="AN112" i="58"/>
  <c r="AM112" i="59"/>
  <c r="AM112" i="60"/>
  <c r="AN104" i="58"/>
  <c r="AN102" i="58"/>
  <c r="AM102" i="59"/>
  <c r="AM102" i="60"/>
  <c r="AN93" i="58"/>
  <c r="AM93" i="59"/>
  <c r="AM93" i="60"/>
  <c r="AN87" i="58"/>
  <c r="AM87" i="59"/>
  <c r="AM87" i="60"/>
  <c r="AN66" i="58"/>
  <c r="AN85" i="58"/>
  <c r="AM85" i="59"/>
  <c r="AM85" i="60"/>
  <c r="AN62" i="58"/>
  <c r="AM62" i="59"/>
  <c r="AM62" i="60"/>
  <c r="AN53" i="58"/>
  <c r="AM53" i="59"/>
  <c r="AM53" i="60"/>
  <c r="AN191" i="58"/>
  <c r="AM191" i="59"/>
  <c r="AM191" i="60"/>
  <c r="AN182" i="58"/>
  <c r="AN169" i="58"/>
  <c r="AM169" i="59"/>
  <c r="AM169" i="60"/>
  <c r="AN166" i="58"/>
  <c r="AM166" i="59"/>
  <c r="AM166" i="60"/>
  <c r="AN168" i="58"/>
  <c r="AM168" i="59"/>
  <c r="AM168" i="60"/>
  <c r="AN163" i="58"/>
  <c r="AM163" i="59"/>
  <c r="AM163" i="60"/>
  <c r="AN138" i="58"/>
  <c r="AM138" i="59"/>
  <c r="AM138" i="60"/>
  <c r="AN125" i="58"/>
  <c r="AM125" i="59"/>
  <c r="AM125" i="60"/>
  <c r="AN133" i="58"/>
  <c r="AM133" i="59"/>
  <c r="AM133" i="60"/>
  <c r="AN118" i="58"/>
  <c r="AM118" i="59"/>
  <c r="AM118" i="60"/>
  <c r="AN100" i="58"/>
  <c r="AM100" i="59"/>
  <c r="AM100" i="60"/>
  <c r="AN174" i="58"/>
  <c r="AM174" i="59"/>
  <c r="AM174" i="60"/>
  <c r="AN171" i="58"/>
  <c r="AN158" i="58"/>
  <c r="AM158" i="59"/>
  <c r="AM158" i="60"/>
  <c r="AN161" i="58"/>
  <c r="AM161" i="59"/>
  <c r="AM161" i="60"/>
  <c r="AN159" i="58"/>
  <c r="AM159" i="59"/>
  <c r="AM159" i="60"/>
  <c r="AN122" i="58"/>
  <c r="AM122" i="59"/>
  <c r="AM122" i="60"/>
  <c r="AN183" i="58"/>
  <c r="AN190" i="58"/>
  <c r="AM190" i="59"/>
  <c r="AM190" i="60"/>
  <c r="AN153" i="58"/>
  <c r="AM153" i="59"/>
  <c r="AM153" i="60"/>
  <c r="AN164" i="58"/>
  <c r="AM164" i="59"/>
  <c r="AM164" i="60"/>
  <c r="AN150" i="58"/>
  <c r="AM150" i="59"/>
  <c r="AM150" i="60"/>
  <c r="AN73" i="58"/>
  <c r="AM73" i="59"/>
  <c r="AM73" i="60"/>
  <c r="AN68" i="58"/>
  <c r="AM68" i="59"/>
  <c r="AM68" i="60"/>
  <c r="AN67" i="58"/>
  <c r="AM67" i="59"/>
  <c r="AM67" i="60"/>
  <c r="AN69" i="58"/>
  <c r="AM69" i="59"/>
  <c r="AM69" i="60"/>
  <c r="AN45" i="58"/>
  <c r="AM45" i="59"/>
  <c r="AM45" i="60"/>
  <c r="AN47" i="58"/>
  <c r="AM47" i="59"/>
  <c r="AM47" i="60"/>
  <c r="AN25" i="58"/>
  <c r="AM25" i="59"/>
  <c r="AM25" i="60"/>
  <c r="AN19" i="58"/>
  <c r="AM19" i="59"/>
  <c r="AM19" i="60"/>
  <c r="AN16" i="58"/>
  <c r="AM16" i="59"/>
  <c r="AM16" i="60"/>
  <c r="AN12" i="58"/>
  <c r="AM12" i="59"/>
  <c r="AM12" i="60"/>
  <c r="AN59" i="58"/>
  <c r="AM59" i="59"/>
  <c r="AM59" i="60"/>
  <c r="AN187" i="58"/>
  <c r="AM187" i="59"/>
  <c r="AM187" i="60"/>
  <c r="AN119" i="58"/>
  <c r="AM119" i="59"/>
  <c r="AM119" i="60"/>
  <c r="AN64" i="58"/>
  <c r="AM64" i="59"/>
  <c r="AM64" i="60"/>
  <c r="AN40" i="58"/>
  <c r="AM40" i="59"/>
  <c r="AM40" i="60"/>
  <c r="AN21" i="58"/>
  <c r="AM21" i="59"/>
  <c r="AM21" i="60"/>
  <c r="AN3" i="58"/>
  <c r="AN179" i="58"/>
  <c r="AN110" i="58"/>
  <c r="AM110" i="59"/>
  <c r="AM110" i="60"/>
  <c r="AN108" i="58"/>
  <c r="AM108" i="59"/>
  <c r="AM108" i="60"/>
  <c r="AN91" i="58"/>
  <c r="AM91" i="59"/>
  <c r="AM91" i="60"/>
  <c r="AN128" i="58"/>
  <c r="AM128" i="59"/>
  <c r="AM128" i="60"/>
  <c r="AN120" i="58"/>
  <c r="AM120" i="59"/>
  <c r="AM120" i="60"/>
  <c r="AN76" i="58"/>
  <c r="AM76" i="59"/>
  <c r="AM76" i="60"/>
  <c r="AN58" i="58"/>
  <c r="AM58" i="59"/>
  <c r="AM58" i="60"/>
  <c r="AN80" i="58"/>
  <c r="AM80" i="59"/>
  <c r="AM80" i="60"/>
  <c r="AN60" i="58"/>
  <c r="AM60" i="59"/>
  <c r="AM60" i="60"/>
  <c r="AN51" i="58"/>
  <c r="AM51" i="59"/>
  <c r="AM51" i="60"/>
  <c r="AN50" i="58"/>
  <c r="AM50" i="59"/>
  <c r="AM50" i="60"/>
  <c r="AN46" i="58"/>
  <c r="AM46" i="59"/>
  <c r="AM46" i="60"/>
  <c r="AN38" i="58"/>
  <c r="AM38" i="59"/>
  <c r="AM38" i="60"/>
  <c r="AN34" i="58"/>
  <c r="AM34" i="59"/>
  <c r="AM34" i="60"/>
  <c r="AN30" i="58"/>
  <c r="AM30" i="59"/>
  <c r="AM30" i="60"/>
  <c r="AN114" i="58"/>
  <c r="AM114" i="59"/>
  <c r="AM114" i="60"/>
  <c r="AN105" i="58"/>
  <c r="AM105" i="59"/>
  <c r="AM105" i="60"/>
  <c r="AN44" i="58"/>
  <c r="AM44" i="59"/>
  <c r="AM44" i="60"/>
  <c r="AN14" i="58"/>
  <c r="AM14" i="59"/>
  <c r="AM14" i="60"/>
  <c r="AN176" i="58"/>
  <c r="AN167" i="58"/>
  <c r="AM167" i="59"/>
  <c r="AM167" i="60"/>
  <c r="AN113" i="58"/>
  <c r="AM113" i="59"/>
  <c r="AM113" i="60"/>
  <c r="AN111" i="58"/>
  <c r="AM111" i="59"/>
  <c r="AM111" i="60"/>
  <c r="AN95" i="58"/>
  <c r="AM95" i="59"/>
  <c r="AM95" i="60"/>
  <c r="AN98" i="58"/>
  <c r="AM98" i="59"/>
  <c r="AM98" i="60"/>
  <c r="AN92" i="58"/>
  <c r="AM92" i="59"/>
  <c r="AM92" i="60"/>
  <c r="AN78" i="58"/>
  <c r="AM78" i="59"/>
  <c r="AM78" i="60"/>
  <c r="AN71" i="58"/>
  <c r="AM71" i="59"/>
  <c r="AM71" i="60"/>
  <c r="AN61" i="58"/>
  <c r="AM61" i="59"/>
  <c r="AM61" i="60"/>
  <c r="AN63" i="58"/>
  <c r="AM63" i="59"/>
  <c r="AM63" i="60"/>
  <c r="AN56" i="58"/>
  <c r="AM56" i="59"/>
  <c r="AM56" i="60"/>
  <c r="AN55" i="58"/>
  <c r="AM55" i="59"/>
  <c r="AM55" i="60"/>
  <c r="AN48" i="58"/>
  <c r="AM48" i="59"/>
  <c r="AM48" i="60"/>
  <c r="AN31" i="58"/>
  <c r="AM31" i="59"/>
  <c r="AM31" i="60"/>
  <c r="AN13" i="58"/>
  <c r="AM13" i="59"/>
  <c r="AM13" i="60"/>
  <c r="AN6" i="58"/>
  <c r="AM6" i="59"/>
  <c r="AM6" i="60"/>
  <c r="AN35" i="58"/>
  <c r="AM35" i="59"/>
  <c r="AM35" i="60"/>
  <c r="AN23" i="58"/>
  <c r="AM23" i="59"/>
  <c r="AM23" i="60"/>
  <c r="AN39" i="58"/>
  <c r="AM39" i="59"/>
  <c r="AM39" i="60"/>
  <c r="AN180" i="58"/>
  <c r="AN152" i="58"/>
  <c r="AM152" i="59"/>
  <c r="AM152" i="60"/>
  <c r="AN84" i="58"/>
  <c r="AN144" i="58"/>
  <c r="AM144" i="59"/>
  <c r="AM144" i="60"/>
  <c r="AN116" i="58"/>
  <c r="AM116" i="59"/>
  <c r="AM116" i="60"/>
  <c r="AN43" i="58"/>
  <c r="AM43" i="59"/>
  <c r="AM43" i="60"/>
  <c r="AN42" i="58"/>
  <c r="AN26" i="58"/>
  <c r="AM26" i="59"/>
  <c r="AM26" i="60"/>
  <c r="AN28" i="58"/>
  <c r="AM28" i="59"/>
  <c r="AM28" i="60"/>
  <c r="AN15" i="58"/>
  <c r="AM15" i="59"/>
  <c r="AM15" i="60"/>
  <c r="AN147" i="58"/>
  <c r="AM147" i="59"/>
  <c r="AM147" i="60"/>
  <c r="AN97" i="58"/>
  <c r="AM97" i="59"/>
  <c r="AM97" i="60"/>
  <c r="AN96" i="58"/>
  <c r="AM96" i="59"/>
  <c r="AM96" i="60"/>
  <c r="AN89" i="58"/>
  <c r="AM89" i="59"/>
  <c r="AM89" i="60"/>
  <c r="AN99" i="58"/>
  <c r="AM99" i="59"/>
  <c r="AM99" i="60"/>
  <c r="AN90" i="58"/>
  <c r="AM90" i="59"/>
  <c r="AM90" i="60"/>
  <c r="AN17" i="58"/>
  <c r="AN145" i="58"/>
  <c r="AM145" i="59"/>
  <c r="AM145" i="60"/>
  <c r="AN103" i="58"/>
  <c r="AM103" i="59"/>
  <c r="AM103" i="60"/>
  <c r="AN151" i="58"/>
  <c r="AM151" i="59"/>
  <c r="AM151" i="60"/>
  <c r="AN81" i="58"/>
  <c r="AM81" i="59"/>
  <c r="AM81" i="60"/>
  <c r="AN75" i="58"/>
  <c r="AM75" i="59"/>
  <c r="AM75" i="60"/>
  <c r="AN22" i="58"/>
  <c r="AM22" i="59"/>
  <c r="AM22" i="60"/>
  <c r="AN33" i="58"/>
  <c r="AM33" i="59"/>
  <c r="AM33" i="60"/>
  <c r="AN79" i="58"/>
  <c r="AM79" i="59"/>
  <c r="AM79" i="60"/>
  <c r="AN141" i="58"/>
  <c r="AM141" i="59"/>
  <c r="AM141" i="60"/>
  <c r="AN27" i="58"/>
  <c r="AM27" i="59"/>
  <c r="AM27" i="60"/>
  <c r="AN124" i="58"/>
  <c r="AM124" i="59"/>
  <c r="AM124" i="60"/>
  <c r="AN37" i="58"/>
  <c r="AM37" i="59"/>
  <c r="AM37" i="60"/>
  <c r="AN41" i="58"/>
  <c r="AM41" i="59"/>
  <c r="AM41" i="60"/>
  <c r="AN70" i="58"/>
  <c r="AM70" i="59"/>
  <c r="AM70" i="60"/>
  <c r="AN148" i="58"/>
  <c r="AM148" i="59"/>
  <c r="AM148" i="60"/>
  <c r="AN129" i="58"/>
  <c r="AM129" i="59"/>
  <c r="AM129" i="60"/>
  <c r="AN72" i="58"/>
  <c r="AM72" i="59"/>
  <c r="AM72" i="60"/>
  <c r="AN18" i="58"/>
  <c r="AM18" i="59"/>
  <c r="AM18" i="60"/>
  <c r="AN221" i="58"/>
  <c r="AO218" i="58"/>
  <c r="AB49" i="56"/>
  <c r="AB21" i="55"/>
  <c r="AJ196" i="59"/>
  <c r="AK171" i="60"/>
  <c r="AC33" i="56"/>
  <c r="AC4" i="55"/>
  <c r="AC19" i="56"/>
  <c r="AJ194" i="60"/>
  <c r="AB23" i="56"/>
  <c r="AK175" i="60"/>
  <c r="AC42" i="56"/>
  <c r="AL42" i="59"/>
  <c r="AD11" i="56"/>
  <c r="AL66" i="59"/>
  <c r="AD12" i="56"/>
  <c r="AL178" i="59"/>
  <c r="AL178" i="60"/>
  <c r="AL364" i="59"/>
  <c r="AL179" i="59"/>
  <c r="AL179" i="60"/>
  <c r="AL365" i="59"/>
  <c r="AD5" i="55"/>
  <c r="AD20" i="56"/>
  <c r="AM209" i="58"/>
  <c r="AM210" i="58"/>
  <c r="AM211" i="58"/>
  <c r="AM203" i="58"/>
  <c r="AC44" i="56"/>
  <c r="AC47" i="56"/>
  <c r="AG372" i="59"/>
  <c r="AG375" i="59"/>
  <c r="AG377" i="59"/>
  <c r="AK216" i="58"/>
  <c r="AL213" i="58"/>
  <c r="Y15" i="55"/>
  <c r="Y14" i="55"/>
  <c r="Y16" i="55"/>
  <c r="Z10" i="55"/>
  <c r="Z11" i="55"/>
  <c r="Z13" i="55"/>
  <c r="AB23" i="55"/>
  <c r="AG28" i="55"/>
  <c r="AM84" i="59"/>
  <c r="AE13" i="56"/>
  <c r="AM179" i="59"/>
  <c r="AM179" i="60"/>
  <c r="AM365" i="59"/>
  <c r="AM184" i="59"/>
  <c r="AM184" i="60"/>
  <c r="AM370" i="59"/>
  <c r="AM165" i="59"/>
  <c r="AE5" i="56"/>
  <c r="AM181" i="59"/>
  <c r="AM181" i="60"/>
  <c r="AM367" i="59"/>
  <c r="AM10" i="59"/>
  <c r="AE8" i="56"/>
  <c r="AN1" i="59"/>
  <c r="AP1" i="58"/>
  <c r="AO5" i="58"/>
  <c r="AN5" i="59"/>
  <c r="AN5" i="60"/>
  <c r="AO10" i="58"/>
  <c r="AO28" i="58"/>
  <c r="AN28" i="59"/>
  <c r="AN28" i="60"/>
  <c r="AO35" i="58"/>
  <c r="AN35" i="59"/>
  <c r="AN35" i="60"/>
  <c r="AO39" i="58"/>
  <c r="AN39" i="59"/>
  <c r="AN39" i="60"/>
  <c r="AO52" i="58"/>
  <c r="AN52" i="59"/>
  <c r="AN52" i="60"/>
  <c r="AO85" i="58"/>
  <c r="AN85" i="59"/>
  <c r="AN85" i="60"/>
  <c r="AO116" i="58"/>
  <c r="AN116" i="59"/>
  <c r="AN116" i="60"/>
  <c r="AO89" i="58"/>
  <c r="AN89" i="59"/>
  <c r="AN89" i="60"/>
  <c r="AO101" i="58"/>
  <c r="AN101" i="59"/>
  <c r="AN101" i="60"/>
  <c r="AO121" i="58"/>
  <c r="AN121" i="59"/>
  <c r="AN121" i="60"/>
  <c r="AO119" i="58"/>
  <c r="AN119" i="59"/>
  <c r="AN119" i="60"/>
  <c r="AO134" i="58"/>
  <c r="AO138" i="58"/>
  <c r="AN138" i="59"/>
  <c r="AN138" i="60"/>
  <c r="AO158" i="58"/>
  <c r="AN158" i="59"/>
  <c r="AN158" i="60"/>
  <c r="AO161" i="58"/>
  <c r="AN161" i="59"/>
  <c r="AN161" i="60"/>
  <c r="AO155" i="58"/>
  <c r="AN155" i="59"/>
  <c r="AN155" i="60"/>
  <c r="AO179" i="58"/>
  <c r="AO187" i="58"/>
  <c r="AN187" i="59"/>
  <c r="AN187" i="60"/>
  <c r="AO176" i="58"/>
  <c r="AO190" i="58"/>
  <c r="AN190" i="59"/>
  <c r="AN190" i="60"/>
  <c r="AO195" i="58"/>
  <c r="AO182" i="58"/>
  <c r="AO229" i="58"/>
  <c r="AO226" i="58"/>
  <c r="AO228" i="58"/>
  <c r="AN1" i="60"/>
  <c r="AO165" i="58"/>
  <c r="AO169" i="58"/>
  <c r="AN169" i="59"/>
  <c r="AN169" i="60"/>
  <c r="AO171" i="58"/>
  <c r="AO133" i="58"/>
  <c r="AN133" i="59"/>
  <c r="AN133" i="60"/>
  <c r="AO112" i="58"/>
  <c r="AN112" i="59"/>
  <c r="AN112" i="60"/>
  <c r="AO91" i="58"/>
  <c r="AN91" i="59"/>
  <c r="AN91" i="60"/>
  <c r="AO105" i="58"/>
  <c r="AN105" i="59"/>
  <c r="AN105" i="60"/>
  <c r="AO92" i="58"/>
  <c r="AN92" i="59"/>
  <c r="AN92" i="60"/>
  <c r="AO88" i="58"/>
  <c r="AN88" i="59"/>
  <c r="AN88" i="60"/>
  <c r="AO99" i="58"/>
  <c r="AN99" i="59"/>
  <c r="AN99" i="60"/>
  <c r="AO66" i="58"/>
  <c r="AO71" i="58"/>
  <c r="AN71" i="59"/>
  <c r="AN71" i="60"/>
  <c r="AO59" i="58"/>
  <c r="AN59" i="59"/>
  <c r="AN59" i="60"/>
  <c r="AO69" i="58"/>
  <c r="AN69" i="59"/>
  <c r="AN69" i="60"/>
  <c r="AO62" i="58"/>
  <c r="AN62" i="59"/>
  <c r="AN62" i="60"/>
  <c r="AO45" i="58"/>
  <c r="AN45" i="59"/>
  <c r="AN45" i="60"/>
  <c r="AO26" i="58"/>
  <c r="AN26" i="59"/>
  <c r="AN26" i="60"/>
  <c r="AO174" i="58"/>
  <c r="AN174" i="59"/>
  <c r="AN174" i="60"/>
  <c r="AO173" i="58"/>
  <c r="AN173" i="59"/>
  <c r="AN173" i="60"/>
  <c r="AO167" i="58"/>
  <c r="AN167" i="59"/>
  <c r="AN167" i="60"/>
  <c r="AO175" i="58"/>
  <c r="AO160" i="58"/>
  <c r="AN160" i="59"/>
  <c r="AN160" i="60"/>
  <c r="AO150" i="58"/>
  <c r="AN150" i="59"/>
  <c r="AN150" i="60"/>
  <c r="AO168" i="58"/>
  <c r="AN168" i="59"/>
  <c r="AN168" i="60"/>
  <c r="AO159" i="58"/>
  <c r="AN159" i="59"/>
  <c r="AN159" i="60"/>
  <c r="AO126" i="58"/>
  <c r="AN126" i="59"/>
  <c r="AN126" i="60"/>
  <c r="AO157" i="58"/>
  <c r="AN157" i="59"/>
  <c r="AN157" i="60"/>
  <c r="AO127" i="58"/>
  <c r="AN127" i="59"/>
  <c r="AN127" i="60"/>
  <c r="AO137" i="58"/>
  <c r="AN137" i="59"/>
  <c r="AN137" i="60"/>
  <c r="AO114" i="58"/>
  <c r="AN114" i="59"/>
  <c r="AN114" i="60"/>
  <c r="AO136" i="58"/>
  <c r="AN136" i="59"/>
  <c r="AN136" i="60"/>
  <c r="AO130" i="58"/>
  <c r="AN130" i="59"/>
  <c r="AN130" i="60"/>
  <c r="AO128" i="58"/>
  <c r="AN128" i="59"/>
  <c r="AN128" i="60"/>
  <c r="AO104" i="58"/>
  <c r="AO123" i="58"/>
  <c r="AN123" i="59"/>
  <c r="AN123" i="60"/>
  <c r="AO111" i="58"/>
  <c r="AN111" i="59"/>
  <c r="AN111" i="60"/>
  <c r="AO95" i="58"/>
  <c r="AN95" i="59"/>
  <c r="AN95" i="60"/>
  <c r="AO90" i="58"/>
  <c r="AN90" i="59"/>
  <c r="AN90" i="60"/>
  <c r="AO78" i="58"/>
  <c r="AN78" i="59"/>
  <c r="AN78" i="60"/>
  <c r="AO61" i="58"/>
  <c r="AN61" i="59"/>
  <c r="AN61" i="60"/>
  <c r="AO180" i="58"/>
  <c r="AO152" i="58"/>
  <c r="AN152" i="59"/>
  <c r="AN152" i="60"/>
  <c r="AO183" i="58"/>
  <c r="AO186" i="58"/>
  <c r="AO149" i="58"/>
  <c r="AN149" i="59"/>
  <c r="AN149" i="60"/>
  <c r="AO185" i="58"/>
  <c r="AN185" i="59"/>
  <c r="AN185" i="60"/>
  <c r="AO153" i="58"/>
  <c r="AN153" i="59"/>
  <c r="AN153" i="60"/>
  <c r="AO146" i="58"/>
  <c r="AN146" i="59"/>
  <c r="AN146" i="60"/>
  <c r="AO163" i="58"/>
  <c r="AN163" i="59"/>
  <c r="AN163" i="60"/>
  <c r="AO147" i="58"/>
  <c r="AN147" i="59"/>
  <c r="AN147" i="60"/>
  <c r="AO125" i="58"/>
  <c r="AN125" i="59"/>
  <c r="AN125" i="60"/>
  <c r="AO143" i="58"/>
  <c r="AN143" i="59"/>
  <c r="AN143" i="60"/>
  <c r="AO144" i="58"/>
  <c r="AN144" i="59"/>
  <c r="AN144" i="60"/>
  <c r="AO102" i="58"/>
  <c r="AN102" i="59"/>
  <c r="AN102" i="60"/>
  <c r="AO184" i="58"/>
  <c r="AO178" i="58"/>
  <c r="AO170" i="58"/>
  <c r="AN170" i="59"/>
  <c r="AN170" i="60"/>
  <c r="AO117" i="58"/>
  <c r="AN117" i="59"/>
  <c r="AN117" i="60"/>
  <c r="AO162" i="58"/>
  <c r="AN162" i="59"/>
  <c r="AN162" i="60"/>
  <c r="AO140" i="58"/>
  <c r="AN140" i="59"/>
  <c r="AN140" i="60"/>
  <c r="AO131" i="58"/>
  <c r="AN131" i="59"/>
  <c r="AN131" i="60"/>
  <c r="AO166" i="58"/>
  <c r="AN166" i="59"/>
  <c r="AN166" i="60"/>
  <c r="AO156" i="58"/>
  <c r="AN156" i="59"/>
  <c r="AN156" i="60"/>
  <c r="AO110" i="58"/>
  <c r="AN110" i="59"/>
  <c r="AN110" i="60"/>
  <c r="AO98" i="58"/>
  <c r="AN98" i="59"/>
  <c r="AN98" i="60"/>
  <c r="AO86" i="58"/>
  <c r="AN86" i="59"/>
  <c r="AN86" i="60"/>
  <c r="AO94" i="58"/>
  <c r="AN94" i="59"/>
  <c r="AN94" i="60"/>
  <c r="AO82" i="58"/>
  <c r="AN82" i="59"/>
  <c r="AN82" i="60"/>
  <c r="AO63" i="58"/>
  <c r="AN63" i="59"/>
  <c r="AN63" i="60"/>
  <c r="AO51" i="58"/>
  <c r="AN51" i="59"/>
  <c r="AN51" i="60"/>
  <c r="AO55" i="58"/>
  <c r="AN55" i="59"/>
  <c r="AN55" i="60"/>
  <c r="AO44" i="58"/>
  <c r="AN44" i="59"/>
  <c r="AN44" i="60"/>
  <c r="AO49" i="58"/>
  <c r="AN49" i="59"/>
  <c r="AN49" i="60"/>
  <c r="AO25" i="58"/>
  <c r="AN25" i="59"/>
  <c r="AN25" i="60"/>
  <c r="AO31" i="58"/>
  <c r="AN31" i="59"/>
  <c r="AN31" i="60"/>
  <c r="AO36" i="58"/>
  <c r="AN36" i="59"/>
  <c r="AN36" i="60"/>
  <c r="AO21" i="58"/>
  <c r="AN21" i="59"/>
  <c r="AN21" i="60"/>
  <c r="AO15" i="58"/>
  <c r="AN15" i="59"/>
  <c r="AN15" i="60"/>
  <c r="AO14" i="58"/>
  <c r="AN14" i="59"/>
  <c r="AN14" i="60"/>
  <c r="AO164" i="58"/>
  <c r="AN164" i="59"/>
  <c r="AN164" i="60"/>
  <c r="AO132" i="58"/>
  <c r="AN132" i="59"/>
  <c r="AN132" i="60"/>
  <c r="AO113" i="58"/>
  <c r="AN113" i="59"/>
  <c r="AN113" i="60"/>
  <c r="AO108" i="58"/>
  <c r="AN108" i="59"/>
  <c r="AN108" i="60"/>
  <c r="AO115" i="58"/>
  <c r="AN115" i="59"/>
  <c r="AN115" i="60"/>
  <c r="AO188" i="58"/>
  <c r="AN188" i="59"/>
  <c r="AN188" i="60"/>
  <c r="AO177" i="58"/>
  <c r="AO100" i="58"/>
  <c r="AN100" i="59"/>
  <c r="AN100" i="60"/>
  <c r="AO97" i="58"/>
  <c r="AN97" i="59"/>
  <c r="AN97" i="60"/>
  <c r="AO68" i="58"/>
  <c r="AN68" i="59"/>
  <c r="AN68" i="60"/>
  <c r="AO87" i="58"/>
  <c r="AN87" i="59"/>
  <c r="AN87" i="60"/>
  <c r="AO83" i="58"/>
  <c r="AN83" i="59"/>
  <c r="AN83" i="60"/>
  <c r="AO67" i="58"/>
  <c r="AN67" i="59"/>
  <c r="AN67" i="60"/>
  <c r="AO77" i="58"/>
  <c r="AN77" i="59"/>
  <c r="AN77" i="60"/>
  <c r="AO65" i="58"/>
  <c r="AN65" i="59"/>
  <c r="AN65" i="60"/>
  <c r="AO42" i="58"/>
  <c r="AO29" i="58"/>
  <c r="AN29" i="59"/>
  <c r="AN29" i="60"/>
  <c r="AO3" i="58"/>
  <c r="AO4" i="58"/>
  <c r="AN4" i="59"/>
  <c r="AN4" i="60"/>
  <c r="AO172" i="58"/>
  <c r="AN172" i="59"/>
  <c r="AN172" i="60"/>
  <c r="AO47" i="58"/>
  <c r="AN47" i="59"/>
  <c r="AN47" i="60"/>
  <c r="AO20" i="58"/>
  <c r="AN20" i="59"/>
  <c r="AN20" i="60"/>
  <c r="AO189" i="58"/>
  <c r="AN189" i="59"/>
  <c r="AN189" i="60"/>
  <c r="AO154" i="58"/>
  <c r="AN154" i="59"/>
  <c r="AN154" i="60"/>
  <c r="AO84" i="58"/>
  <c r="AO142" i="58"/>
  <c r="AN142" i="59"/>
  <c r="AN142" i="60"/>
  <c r="AO135" i="58"/>
  <c r="AN135" i="59"/>
  <c r="AN135" i="60"/>
  <c r="AO120" i="58"/>
  <c r="AN120" i="59"/>
  <c r="AN120" i="60"/>
  <c r="AO106" i="58"/>
  <c r="AN106" i="59"/>
  <c r="AN106" i="60"/>
  <c r="AO93" i="58"/>
  <c r="AN93" i="59"/>
  <c r="AN93" i="60"/>
  <c r="AO43" i="58"/>
  <c r="AN43" i="59"/>
  <c r="AN43" i="60"/>
  <c r="AO38" i="58"/>
  <c r="AN38" i="59"/>
  <c r="AN38" i="60"/>
  <c r="AO32" i="58"/>
  <c r="AN32" i="59"/>
  <c r="AN32" i="60"/>
  <c r="AO23" i="58"/>
  <c r="AN23" i="59"/>
  <c r="AN23" i="60"/>
  <c r="AO11" i="58"/>
  <c r="AN11" i="59"/>
  <c r="AN11" i="60"/>
  <c r="AO96" i="58"/>
  <c r="AN96" i="59"/>
  <c r="AN96" i="60"/>
  <c r="AO46" i="58"/>
  <c r="AN46" i="59"/>
  <c r="AN46" i="60"/>
  <c r="AO12" i="58"/>
  <c r="AN12" i="59"/>
  <c r="AN12" i="60"/>
  <c r="AO191" i="58"/>
  <c r="AN191" i="59"/>
  <c r="AN191" i="60"/>
  <c r="AO122" i="58"/>
  <c r="AN122" i="59"/>
  <c r="AN122" i="60"/>
  <c r="AO139" i="58"/>
  <c r="AN139" i="59"/>
  <c r="AN139" i="60"/>
  <c r="AO107" i="58"/>
  <c r="AN107" i="59"/>
  <c r="AN107" i="60"/>
  <c r="AO76" i="58"/>
  <c r="AN76" i="59"/>
  <c r="AN76" i="60"/>
  <c r="AO53" i="58"/>
  <c r="AN53" i="59"/>
  <c r="AN53" i="60"/>
  <c r="AO60" i="58"/>
  <c r="AN60" i="59"/>
  <c r="AN60" i="60"/>
  <c r="AO80" i="58"/>
  <c r="AN80" i="59"/>
  <c r="AN80" i="60"/>
  <c r="AO56" i="58"/>
  <c r="AN56" i="59"/>
  <c r="AN56" i="60"/>
  <c r="AO57" i="58"/>
  <c r="AN57" i="59"/>
  <c r="AN57" i="60"/>
  <c r="AO50" i="58"/>
  <c r="AN50" i="59"/>
  <c r="AN50" i="60"/>
  <c r="AO30" i="58"/>
  <c r="AN30" i="59"/>
  <c r="AN30" i="60"/>
  <c r="AO34" i="58"/>
  <c r="AN34" i="59"/>
  <c r="AN34" i="60"/>
  <c r="AO13" i="58"/>
  <c r="AN13" i="59"/>
  <c r="AN13" i="60"/>
  <c r="AO7" i="58"/>
  <c r="AN7" i="59"/>
  <c r="AN7" i="60"/>
  <c r="AO6" i="58"/>
  <c r="AN6" i="59"/>
  <c r="AN6" i="60"/>
  <c r="AO9" i="58"/>
  <c r="AN9" i="59"/>
  <c r="AN9" i="60"/>
  <c r="AO181" i="58"/>
  <c r="AO109" i="58"/>
  <c r="AN109" i="59"/>
  <c r="AO58" i="58"/>
  <c r="AN58" i="59"/>
  <c r="AN58" i="60"/>
  <c r="AO64" i="58"/>
  <c r="AN64" i="59"/>
  <c r="AN64" i="60"/>
  <c r="AO54" i="58"/>
  <c r="AN54" i="59"/>
  <c r="AN54" i="60"/>
  <c r="AO48" i="58"/>
  <c r="AN48" i="59"/>
  <c r="AN48" i="60"/>
  <c r="AO40" i="58"/>
  <c r="AN40" i="59"/>
  <c r="AN40" i="60"/>
  <c r="AO24" i="58"/>
  <c r="AN24" i="59"/>
  <c r="AN24" i="60"/>
  <c r="AO19" i="58"/>
  <c r="AN19" i="59"/>
  <c r="AN19" i="60"/>
  <c r="AO16" i="58"/>
  <c r="AN16" i="59"/>
  <c r="AN16" i="60"/>
  <c r="AO118" i="58"/>
  <c r="AN118" i="59"/>
  <c r="AN118" i="60"/>
  <c r="AO73" i="58"/>
  <c r="AN73" i="59"/>
  <c r="AN73" i="60"/>
  <c r="AO74" i="58"/>
  <c r="AN74" i="59"/>
  <c r="AN74" i="60"/>
  <c r="AO8" i="58"/>
  <c r="AN8" i="59"/>
  <c r="AN8" i="60"/>
  <c r="AO75" i="58"/>
  <c r="AN75" i="59"/>
  <c r="AN75" i="60"/>
  <c r="AO70" i="58"/>
  <c r="AN70" i="59"/>
  <c r="AN70" i="60"/>
  <c r="AO79" i="58"/>
  <c r="AN79" i="59"/>
  <c r="AN79" i="60"/>
  <c r="AO141" i="58"/>
  <c r="AN141" i="59"/>
  <c r="AN141" i="60"/>
  <c r="AO37" i="58"/>
  <c r="AN37" i="59"/>
  <c r="AN37" i="60"/>
  <c r="AO148" i="58"/>
  <c r="AN148" i="59"/>
  <c r="AN148" i="60"/>
  <c r="AO72" i="58"/>
  <c r="AN72" i="59"/>
  <c r="AN72" i="60"/>
  <c r="AO17" i="58"/>
  <c r="AO22" i="58"/>
  <c r="AN22" i="59"/>
  <c r="AN22" i="60"/>
  <c r="AO33" i="58"/>
  <c r="AN33" i="59"/>
  <c r="AN33" i="60"/>
  <c r="AO145" i="58"/>
  <c r="AN145" i="59"/>
  <c r="AN145" i="60"/>
  <c r="AO41" i="58"/>
  <c r="AN41" i="59"/>
  <c r="AN41" i="60"/>
  <c r="AO27" i="58"/>
  <c r="AN27" i="59"/>
  <c r="AN27" i="60"/>
  <c r="AO18" i="58"/>
  <c r="AN18" i="59"/>
  <c r="AN18" i="60"/>
  <c r="AO103" i="58"/>
  <c r="AN103" i="59"/>
  <c r="AN103" i="60"/>
  <c r="AO151" i="58"/>
  <c r="AN151" i="59"/>
  <c r="AN151" i="60"/>
  <c r="AO124" i="58"/>
  <c r="AN124" i="59"/>
  <c r="AN124" i="60"/>
  <c r="AO129" i="58"/>
  <c r="AN129" i="59"/>
  <c r="AN129" i="60"/>
  <c r="AO81" i="58"/>
  <c r="AN81" i="59"/>
  <c r="AN81" i="60"/>
  <c r="AI193" i="60"/>
  <c r="AI195" i="60"/>
  <c r="AJ3" i="60"/>
  <c r="AC7" i="55"/>
  <c r="AI196" i="59"/>
  <c r="AJ197" i="59"/>
  <c r="AA21" i="55"/>
  <c r="AB9" i="55"/>
  <c r="AM186" i="59"/>
  <c r="AE6" i="56"/>
  <c r="AL66" i="60"/>
  <c r="AD38" i="56"/>
  <c r="AM3" i="59"/>
  <c r="AN196" i="58"/>
  <c r="AN194" i="58"/>
  <c r="AN201" i="58"/>
  <c r="AN199" i="58"/>
  <c r="AN200" i="58"/>
  <c r="AN202" i="58"/>
  <c r="AE10" i="56"/>
  <c r="AN193" i="58"/>
  <c r="AE4" i="56"/>
  <c r="AN207" i="58"/>
  <c r="AM66" i="59"/>
  <c r="AE12" i="56"/>
  <c r="AM134" i="59"/>
  <c r="AE15" i="56"/>
  <c r="AL84" i="60"/>
  <c r="AD39" i="56"/>
  <c r="AM198" i="58"/>
  <c r="AM205" i="58"/>
  <c r="AI26" i="55"/>
  <c r="AI27" i="55"/>
  <c r="AD3" i="55"/>
  <c r="AM214" i="58"/>
  <c r="AD6" i="55"/>
  <c r="AD22" i="55"/>
  <c r="AD21" i="56"/>
  <c r="AC49" i="56"/>
  <c r="AH196" i="60"/>
  <c r="Z18" i="55"/>
  <c r="Z19" i="55"/>
  <c r="AL171" i="60"/>
  <c r="AD33" i="56"/>
  <c r="AH198" i="59"/>
  <c r="AH197" i="59"/>
  <c r="AL10" i="60"/>
  <c r="AD34" i="56"/>
  <c r="AM109" i="60"/>
  <c r="AL134" i="60"/>
  <c r="AD41" i="56"/>
  <c r="AM42" i="59"/>
  <c r="AE11" i="56"/>
  <c r="AM182" i="59"/>
  <c r="AM182" i="60"/>
  <c r="AM368" i="59"/>
  <c r="AM175" i="59"/>
  <c r="AE16" i="56"/>
  <c r="AD4" i="55"/>
  <c r="AD19" i="56"/>
  <c r="AK194" i="60"/>
  <c r="AL193" i="59"/>
  <c r="AD30" i="56"/>
  <c r="AD36" i="56"/>
  <c r="Z23" i="55"/>
  <c r="AE28" i="55"/>
  <c r="AM178" i="59"/>
  <c r="AM178" i="60"/>
  <c r="AM364" i="59"/>
  <c r="AL104" i="60"/>
  <c r="AD40" i="56"/>
  <c r="AM180" i="59"/>
  <c r="AM180" i="60"/>
  <c r="AM366" i="59"/>
  <c r="AL42" i="60"/>
  <c r="AD37" i="56"/>
  <c r="AM171" i="59"/>
  <c r="AE7" i="56"/>
  <c r="AE20" i="56"/>
  <c r="AE5" i="55"/>
  <c r="AN209" i="58"/>
  <c r="AN210" i="58"/>
  <c r="AN211" i="58"/>
  <c r="AL186" i="60"/>
  <c r="AD32" i="56"/>
  <c r="AC21" i="55"/>
  <c r="AK196" i="59"/>
  <c r="AC23" i="56"/>
  <c r="AD18" i="56"/>
  <c r="AD25" i="56"/>
  <c r="AE8" i="55"/>
  <c r="AJ198" i="59"/>
  <c r="AM104" i="59"/>
  <c r="AE14" i="56"/>
  <c r="AL175" i="60"/>
  <c r="AD42" i="56"/>
  <c r="AO221" i="58"/>
  <c r="AP218" i="58"/>
  <c r="AM17" i="59"/>
  <c r="AE9" i="56"/>
  <c r="AM176" i="59"/>
  <c r="AM176" i="60"/>
  <c r="AM362" i="59"/>
  <c r="AM183" i="59"/>
  <c r="AM183" i="60"/>
  <c r="AM369" i="59"/>
  <c r="AM177" i="59"/>
  <c r="AM177" i="60"/>
  <c r="AM363" i="59"/>
  <c r="AL17" i="60"/>
  <c r="AD35" i="56"/>
  <c r="AL165" i="60"/>
  <c r="AD31" i="56"/>
  <c r="AH372" i="59"/>
  <c r="AN203" i="58"/>
  <c r="AG376" i="59"/>
  <c r="AJ372" i="59"/>
  <c r="AJ375" i="59"/>
  <c r="AJ377" i="59"/>
  <c r="Z16" i="55"/>
  <c r="Z14" i="55"/>
  <c r="Z15" i="55"/>
  <c r="AA10" i="55"/>
  <c r="AA11" i="55"/>
  <c r="AA13" i="55"/>
  <c r="AB10" i="55"/>
  <c r="AL216" i="58"/>
  <c r="AM213" i="58"/>
  <c r="AC23" i="55"/>
  <c r="AH28" i="55"/>
  <c r="AF8" i="55"/>
  <c r="AM175" i="60"/>
  <c r="AE42" i="56"/>
  <c r="AE3" i="55"/>
  <c r="AN198" i="58"/>
  <c r="AN205" i="58"/>
  <c r="AJ26" i="55"/>
  <c r="AJ27" i="55"/>
  <c r="AE4" i="55"/>
  <c r="AE19" i="56"/>
  <c r="AL194" i="60"/>
  <c r="AM186" i="60"/>
  <c r="AE32" i="56"/>
  <c r="AJ193" i="60"/>
  <c r="AJ195" i="60"/>
  <c r="AK3" i="60"/>
  <c r="AN3" i="59"/>
  <c r="AO194" i="58"/>
  <c r="AO196" i="58"/>
  <c r="AO202" i="58"/>
  <c r="AO201" i="58"/>
  <c r="AO199" i="58"/>
  <c r="AO200" i="58"/>
  <c r="AF4" i="56"/>
  <c r="AO193" i="58"/>
  <c r="AF10" i="56"/>
  <c r="AO207" i="58"/>
  <c r="AN184" i="59"/>
  <c r="AN184" i="60"/>
  <c r="AN370" i="59"/>
  <c r="AN183" i="59"/>
  <c r="AN183" i="60"/>
  <c r="AN369" i="59"/>
  <c r="AN165" i="59"/>
  <c r="AF5" i="56"/>
  <c r="AO209" i="58"/>
  <c r="AO210" i="58"/>
  <c r="AO211" i="58"/>
  <c r="AF5" i="55"/>
  <c r="AF20" i="56"/>
  <c r="AD44" i="56"/>
  <c r="AD47" i="56"/>
  <c r="AM17" i="60"/>
  <c r="AE35" i="56"/>
  <c r="AM104" i="60"/>
  <c r="AE40" i="56"/>
  <c r="AP221" i="58"/>
  <c r="AR218" i="58"/>
  <c r="S4" i="54"/>
  <c r="AD23" i="56"/>
  <c r="AL196" i="59"/>
  <c r="AD21" i="55"/>
  <c r="AM134" i="60"/>
  <c r="AE41" i="56"/>
  <c r="AN214" i="58"/>
  <c r="AE6" i="55"/>
  <c r="AE22" i="55"/>
  <c r="AE21" i="56"/>
  <c r="AI196" i="60"/>
  <c r="AA18" i="55"/>
  <c r="AA19" i="55"/>
  <c r="AN17" i="59"/>
  <c r="AF9" i="56"/>
  <c r="AM10" i="60"/>
  <c r="AE34" i="56"/>
  <c r="AM42" i="60"/>
  <c r="AE37" i="56"/>
  <c r="AD7" i="55"/>
  <c r="AM193" i="59"/>
  <c r="AE30" i="56"/>
  <c r="AE36" i="56"/>
  <c r="AN42" i="59"/>
  <c r="AF11" i="56"/>
  <c r="AN180" i="59"/>
  <c r="AN180" i="60"/>
  <c r="AN366" i="59"/>
  <c r="AN66" i="59"/>
  <c r="AF12" i="56"/>
  <c r="AN176" i="59"/>
  <c r="AN176" i="60"/>
  <c r="AN362" i="59"/>
  <c r="AN10" i="59"/>
  <c r="AF8" i="56"/>
  <c r="AH375" i="59"/>
  <c r="AH377" i="59"/>
  <c r="AH376" i="59"/>
  <c r="AK198" i="59"/>
  <c r="AK197" i="59"/>
  <c r="AM66" i="60"/>
  <c r="AE38" i="56"/>
  <c r="AA23" i="55"/>
  <c r="AF28" i="55"/>
  <c r="AN109" i="60"/>
  <c r="AN104" i="59"/>
  <c r="AF14" i="56"/>
  <c r="AN134" i="59"/>
  <c r="AF15" i="56"/>
  <c r="AI198" i="59"/>
  <c r="AI197" i="59"/>
  <c r="AN181" i="59"/>
  <c r="AN181" i="60"/>
  <c r="AN367" i="59"/>
  <c r="AN175" i="59"/>
  <c r="AF16" i="56"/>
  <c r="AN171" i="59"/>
  <c r="AF7" i="56"/>
  <c r="AN179" i="59"/>
  <c r="AN179" i="60"/>
  <c r="AN365" i="59"/>
  <c r="AO1" i="59"/>
  <c r="AP4" i="58"/>
  <c r="AP9" i="58"/>
  <c r="AP29" i="58"/>
  <c r="AP32" i="58"/>
  <c r="AP23" i="58"/>
  <c r="AP36" i="58"/>
  <c r="AP28" i="58"/>
  <c r="AP31" i="58"/>
  <c r="AP35" i="58"/>
  <c r="AP74" i="58"/>
  <c r="AP77" i="58"/>
  <c r="AP80" i="58"/>
  <c r="AP87" i="58"/>
  <c r="AP142" i="58"/>
  <c r="AP123" i="58"/>
  <c r="AP135" i="58"/>
  <c r="AP146" i="58"/>
  <c r="AP128" i="58"/>
  <c r="AP159" i="58"/>
  <c r="AP162" i="58"/>
  <c r="AP183" i="58"/>
  <c r="AP177" i="58"/>
  <c r="AP195" i="58"/>
  <c r="AP226" i="58"/>
  <c r="AR226" i="58"/>
  <c r="AP228" i="58"/>
  <c r="AR228" i="58"/>
  <c r="AP229" i="58"/>
  <c r="AR229" i="58"/>
  <c r="AO1" i="60"/>
  <c r="AP188" i="58"/>
  <c r="AP170" i="58"/>
  <c r="AP186" i="58"/>
  <c r="AP185" i="58"/>
  <c r="AP163" i="58"/>
  <c r="AP164" i="58"/>
  <c r="AP125" i="58"/>
  <c r="AP133" i="58"/>
  <c r="AP144" i="58"/>
  <c r="AP100" i="58"/>
  <c r="AP121" i="58"/>
  <c r="AP91" i="58"/>
  <c r="AP102" i="58"/>
  <c r="AP89" i="58"/>
  <c r="AP98" i="58"/>
  <c r="AP88" i="58"/>
  <c r="AP86" i="58"/>
  <c r="AP82" i="58"/>
  <c r="AP85" i="58"/>
  <c r="AP63" i="58"/>
  <c r="AP64" i="58"/>
  <c r="AP191" i="58"/>
  <c r="AP117" i="58"/>
  <c r="AP190" i="58"/>
  <c r="AP176" i="58"/>
  <c r="AP187" i="58"/>
  <c r="AP179" i="58"/>
  <c r="AP175" i="58"/>
  <c r="AP166" i="58"/>
  <c r="AP160" i="58"/>
  <c r="AP172" i="58"/>
  <c r="AP157" i="58"/>
  <c r="AP126" i="58"/>
  <c r="AP84" i="58"/>
  <c r="AP122" i="58"/>
  <c r="AP104" i="58"/>
  <c r="AP136" i="58"/>
  <c r="AP118" i="58"/>
  <c r="AP110" i="58"/>
  <c r="AP119" i="58"/>
  <c r="AP76" i="58"/>
  <c r="AP106" i="58"/>
  <c r="AP99" i="58"/>
  <c r="AP92" i="58"/>
  <c r="AP67" i="58"/>
  <c r="AP153" i="58"/>
  <c r="AP171" i="58"/>
  <c r="AP156" i="58"/>
  <c r="AP155" i="58"/>
  <c r="AP139" i="58"/>
  <c r="AP116" i="58"/>
  <c r="AP112" i="58"/>
  <c r="AP108" i="58"/>
  <c r="AP107" i="58"/>
  <c r="AP105" i="58"/>
  <c r="AP184" i="58"/>
  <c r="AP174" i="58"/>
  <c r="AP178" i="58"/>
  <c r="AP169" i="58"/>
  <c r="AP167" i="58"/>
  <c r="AP168" i="58"/>
  <c r="AP147" i="58"/>
  <c r="AP127" i="58"/>
  <c r="AP113" i="58"/>
  <c r="AP140" i="58"/>
  <c r="AP137" i="58"/>
  <c r="AP131" i="58"/>
  <c r="AP143" i="58"/>
  <c r="AP114" i="58"/>
  <c r="AP173" i="58"/>
  <c r="AP130" i="58"/>
  <c r="AP93" i="58"/>
  <c r="AP69" i="58"/>
  <c r="AP53" i="58"/>
  <c r="AP60" i="58"/>
  <c r="AP55" i="58"/>
  <c r="AP48" i="58"/>
  <c r="AP30" i="58"/>
  <c r="AP19" i="58"/>
  <c r="AP11" i="58"/>
  <c r="AP6" i="58"/>
  <c r="AP138" i="58"/>
  <c r="AP44" i="58"/>
  <c r="AP165" i="58"/>
  <c r="AP180" i="58"/>
  <c r="AP189" i="58"/>
  <c r="AP132" i="58"/>
  <c r="AP101" i="58"/>
  <c r="AP68" i="58"/>
  <c r="AP58" i="58"/>
  <c r="AP39" i="58"/>
  <c r="AP24" i="58"/>
  <c r="AP21" i="58"/>
  <c r="AP13" i="58"/>
  <c r="AP20" i="58"/>
  <c r="AP12" i="58"/>
  <c r="AP7" i="58"/>
  <c r="AP120" i="58"/>
  <c r="AP57" i="58"/>
  <c r="AP10" i="58"/>
  <c r="AP182" i="58"/>
  <c r="AP158" i="58"/>
  <c r="AP150" i="58"/>
  <c r="AP154" i="58"/>
  <c r="AP149" i="58"/>
  <c r="AP115" i="58"/>
  <c r="AP66" i="58"/>
  <c r="AP62" i="58"/>
  <c r="AP43" i="58"/>
  <c r="AP49" i="58"/>
  <c r="AP71" i="58"/>
  <c r="AP56" i="58"/>
  <c r="AP42" i="58"/>
  <c r="AP38" i="58"/>
  <c r="AP25" i="58"/>
  <c r="AP5" i="58"/>
  <c r="AP161" i="58"/>
  <c r="AP134" i="58"/>
  <c r="AP111" i="58"/>
  <c r="AP97" i="58"/>
  <c r="AP95" i="58"/>
  <c r="AP90" i="58"/>
  <c r="AP94" i="58"/>
  <c r="AP78" i="58"/>
  <c r="AP59" i="58"/>
  <c r="AP61" i="58"/>
  <c r="AP51" i="58"/>
  <c r="AP52" i="58"/>
  <c r="AP47" i="58"/>
  <c r="AP40" i="58"/>
  <c r="AP14" i="58"/>
  <c r="AP8" i="58"/>
  <c r="AP45" i="58"/>
  <c r="AP26" i="58"/>
  <c r="AP3" i="58"/>
  <c r="AP96" i="58"/>
  <c r="AP109" i="58"/>
  <c r="AP65" i="58"/>
  <c r="AP34" i="58"/>
  <c r="AP181" i="58"/>
  <c r="AP83" i="58"/>
  <c r="AP54" i="58"/>
  <c r="AP50" i="58"/>
  <c r="AP46" i="58"/>
  <c r="AP16" i="58"/>
  <c r="AP15" i="58"/>
  <c r="AP152" i="58"/>
  <c r="AP73" i="58"/>
  <c r="AP124" i="58"/>
  <c r="AP37" i="58"/>
  <c r="AP129" i="58"/>
  <c r="AP151" i="58"/>
  <c r="AP70" i="58"/>
  <c r="AP103" i="58"/>
  <c r="AP41" i="58"/>
  <c r="AP148" i="58"/>
  <c r="AP27" i="58"/>
  <c r="AP79" i="58"/>
  <c r="AP145" i="58"/>
  <c r="AP75" i="58"/>
  <c r="AP18" i="58"/>
  <c r="AP81" i="58"/>
  <c r="AP17" i="58"/>
  <c r="AP22" i="58"/>
  <c r="AP33" i="58"/>
  <c r="AP141" i="58"/>
  <c r="AP72" i="58"/>
  <c r="AE18" i="56"/>
  <c r="AE23" i="56"/>
  <c r="AM171" i="60"/>
  <c r="AE33" i="56"/>
  <c r="AC9" i="55"/>
  <c r="AN84" i="59"/>
  <c r="AF13" i="56"/>
  <c r="AN177" i="59"/>
  <c r="AN177" i="60"/>
  <c r="AN363" i="59"/>
  <c r="AN178" i="59"/>
  <c r="AN178" i="60"/>
  <c r="AN364" i="59"/>
  <c r="AN186" i="59"/>
  <c r="AF6" i="56"/>
  <c r="AN182" i="59"/>
  <c r="AN182" i="60"/>
  <c r="AN368" i="59"/>
  <c r="AM165" i="60"/>
  <c r="AE31" i="56"/>
  <c r="AM84" i="60"/>
  <c r="AE39" i="56"/>
  <c r="AK372" i="59"/>
  <c r="AK376" i="59"/>
  <c r="AI372" i="59"/>
  <c r="AM216" i="58"/>
  <c r="AN213" i="58"/>
  <c r="AO22" i="59"/>
  <c r="AR22" i="58"/>
  <c r="AO79" i="59"/>
  <c r="AR79" i="58"/>
  <c r="AO151" i="59"/>
  <c r="AR151" i="58"/>
  <c r="AO15" i="59"/>
  <c r="AR15" i="58"/>
  <c r="AO181" i="59"/>
  <c r="AO367" i="59"/>
  <c r="AR181" i="58"/>
  <c r="AO26" i="59"/>
  <c r="AR26" i="58"/>
  <c r="AO52" i="59"/>
  <c r="AR52" i="58"/>
  <c r="AO90" i="59"/>
  <c r="AR90" i="58"/>
  <c r="AO5" i="59"/>
  <c r="AR5" i="58"/>
  <c r="AO49" i="59"/>
  <c r="AR49" i="58"/>
  <c r="AO154" i="59"/>
  <c r="AR154" i="58"/>
  <c r="AO120" i="59"/>
  <c r="AR120" i="58"/>
  <c r="AO24" i="59"/>
  <c r="AR24" i="58"/>
  <c r="AO189" i="59"/>
  <c r="AR189" i="58"/>
  <c r="AO11" i="59"/>
  <c r="AR11" i="58"/>
  <c r="AO53" i="59"/>
  <c r="AR53" i="58"/>
  <c r="AO143" i="59"/>
  <c r="AR143" i="58"/>
  <c r="AO147" i="59"/>
  <c r="AR147" i="58"/>
  <c r="AO184" i="59"/>
  <c r="AO370" i="59"/>
  <c r="AR184" i="58"/>
  <c r="AO139" i="59"/>
  <c r="AR139" i="58"/>
  <c r="AO92" i="59"/>
  <c r="AR92" i="58"/>
  <c r="AO118" i="59"/>
  <c r="AR118" i="58"/>
  <c r="AO157" i="59"/>
  <c r="AR157" i="58"/>
  <c r="AO187" i="59"/>
  <c r="AR187" i="58"/>
  <c r="AO63" i="59"/>
  <c r="AR63" i="58"/>
  <c r="AO89" i="59"/>
  <c r="AR89" i="58"/>
  <c r="AO133" i="59"/>
  <c r="AR133" i="58"/>
  <c r="AO170" i="59"/>
  <c r="AR170" i="58"/>
  <c r="AP209" i="58"/>
  <c r="AG20" i="56"/>
  <c r="AI20" i="56"/>
  <c r="AG5" i="55"/>
  <c r="AR195" i="58"/>
  <c r="AO146" i="59"/>
  <c r="AR146" i="58"/>
  <c r="AO77" i="59"/>
  <c r="AR77" i="58"/>
  <c r="AO23" i="59"/>
  <c r="AR23" i="58"/>
  <c r="AL197" i="59"/>
  <c r="AL198" i="59"/>
  <c r="AF18" i="56"/>
  <c r="AB18" i="55"/>
  <c r="AB19" i="55"/>
  <c r="AJ196" i="60"/>
  <c r="AE7" i="55"/>
  <c r="AO129" i="59"/>
  <c r="AR129" i="58"/>
  <c r="AO45" i="59"/>
  <c r="AR45" i="58"/>
  <c r="AO25" i="59"/>
  <c r="AR25" i="58"/>
  <c r="AO43" i="59"/>
  <c r="AR43" i="58"/>
  <c r="AO150" i="59"/>
  <c r="AR150" i="58"/>
  <c r="AO7" i="59"/>
  <c r="AR7" i="58"/>
  <c r="AO19" i="59"/>
  <c r="AR19" i="58"/>
  <c r="AO69" i="59"/>
  <c r="AR69" i="58"/>
  <c r="AO131" i="59"/>
  <c r="AR131" i="58"/>
  <c r="AO168" i="59"/>
  <c r="AR168" i="58"/>
  <c r="AO105" i="59"/>
  <c r="AR105" i="58"/>
  <c r="AO155" i="59"/>
  <c r="AR155" i="58"/>
  <c r="AO99" i="59"/>
  <c r="AR99" i="58"/>
  <c r="AO136" i="59"/>
  <c r="AR136" i="58"/>
  <c r="AO172" i="59"/>
  <c r="AR172" i="58"/>
  <c r="AO176" i="59"/>
  <c r="AO362" i="59"/>
  <c r="AR176" i="58"/>
  <c r="AO85" i="59"/>
  <c r="AR85" i="58"/>
  <c r="AO102" i="59"/>
  <c r="AR102" i="58"/>
  <c r="AO125" i="59"/>
  <c r="AR125" i="58"/>
  <c r="AO188" i="59"/>
  <c r="AR188" i="58"/>
  <c r="AO177" i="59"/>
  <c r="AO363" i="59"/>
  <c r="AR177" i="58"/>
  <c r="AO135" i="59"/>
  <c r="AR135" i="58"/>
  <c r="AO74" i="59"/>
  <c r="AR74" i="58"/>
  <c r="AO32" i="59"/>
  <c r="AR32" i="58"/>
  <c r="AN104" i="60"/>
  <c r="AF40" i="56"/>
  <c r="AN10" i="60"/>
  <c r="AF34" i="56"/>
  <c r="AN165" i="60"/>
  <c r="AF31" i="56"/>
  <c r="AB11" i="55"/>
  <c r="AB13" i="55"/>
  <c r="AC10" i="55"/>
  <c r="AA15" i="55"/>
  <c r="AA14" i="55"/>
  <c r="AA16" i="55"/>
  <c r="AO27" i="59"/>
  <c r="AR27" i="58"/>
  <c r="AO34" i="59"/>
  <c r="AR34" i="58"/>
  <c r="AO95" i="59"/>
  <c r="AR95" i="58"/>
  <c r="AO180" i="59"/>
  <c r="AO366" i="59"/>
  <c r="AR180" i="58"/>
  <c r="AN186" i="60"/>
  <c r="AF32" i="56"/>
  <c r="AN84" i="60"/>
  <c r="AF39" i="56"/>
  <c r="AO81" i="59"/>
  <c r="AR81" i="58"/>
  <c r="AO148" i="59"/>
  <c r="AR148" i="58"/>
  <c r="AO37" i="59"/>
  <c r="AR37" i="58"/>
  <c r="AO46" i="59"/>
  <c r="AR46" i="58"/>
  <c r="AO65" i="59"/>
  <c r="AR65" i="58"/>
  <c r="AO8" i="59"/>
  <c r="AR8" i="58"/>
  <c r="AO61" i="59"/>
  <c r="AR61" i="58"/>
  <c r="AO97" i="59"/>
  <c r="AR97" i="58"/>
  <c r="AO38" i="59"/>
  <c r="AR38" i="58"/>
  <c r="AO62" i="59"/>
  <c r="AR62" i="58"/>
  <c r="AO158" i="59"/>
  <c r="AR158" i="58"/>
  <c r="AO12" i="59"/>
  <c r="AR12" i="58"/>
  <c r="AO58" i="59"/>
  <c r="AR58" i="58"/>
  <c r="AO165" i="59"/>
  <c r="AG5" i="56"/>
  <c r="AR165" i="58"/>
  <c r="AO30" i="59"/>
  <c r="AR30" i="58"/>
  <c r="AO93" i="59"/>
  <c r="AR93" i="58"/>
  <c r="AO137" i="59"/>
  <c r="AR137" i="58"/>
  <c r="AO167" i="59"/>
  <c r="AR167" i="58"/>
  <c r="AO107" i="59"/>
  <c r="AR107" i="58"/>
  <c r="AO156" i="59"/>
  <c r="AR156" i="58"/>
  <c r="AO106" i="59"/>
  <c r="AR106" i="58"/>
  <c r="AO104" i="59"/>
  <c r="AG14" i="56"/>
  <c r="AI14" i="56"/>
  <c r="AR104" i="58"/>
  <c r="AO160" i="59"/>
  <c r="AR160" i="58"/>
  <c r="AO190" i="59"/>
  <c r="AR190" i="58"/>
  <c r="AO82" i="59"/>
  <c r="AR82" i="58"/>
  <c r="AO91" i="59"/>
  <c r="AR91" i="58"/>
  <c r="AO164" i="59"/>
  <c r="AR164" i="58"/>
  <c r="AO183" i="59"/>
  <c r="AO369" i="59"/>
  <c r="AR183" i="58"/>
  <c r="AO123" i="59"/>
  <c r="AR123" i="58"/>
  <c r="AO35" i="59"/>
  <c r="AR35" i="58"/>
  <c r="AO29" i="59"/>
  <c r="AR29" i="58"/>
  <c r="AI376" i="59"/>
  <c r="AI375" i="59"/>
  <c r="AI377" i="59"/>
  <c r="AE21" i="55"/>
  <c r="AM196" i="59"/>
  <c r="AF3" i="55"/>
  <c r="AO198" i="58"/>
  <c r="AO205" i="58"/>
  <c r="AK26" i="55"/>
  <c r="AK27" i="55"/>
  <c r="AO214" i="58"/>
  <c r="AF6" i="55"/>
  <c r="AF22" i="55"/>
  <c r="AF21" i="56"/>
  <c r="AO17" i="59"/>
  <c r="AG9" i="56"/>
  <c r="AI9" i="56"/>
  <c r="AR17" i="58"/>
  <c r="AO16" i="59"/>
  <c r="AR16" i="58"/>
  <c r="AO51" i="59"/>
  <c r="AR51" i="58"/>
  <c r="AO39" i="59"/>
  <c r="AR39" i="58"/>
  <c r="AE44" i="56"/>
  <c r="AE47" i="56"/>
  <c r="AO72" i="59"/>
  <c r="AR72" i="58"/>
  <c r="AO18" i="59"/>
  <c r="AR18" i="58"/>
  <c r="AO41" i="59"/>
  <c r="AR41" i="58"/>
  <c r="AO124" i="59"/>
  <c r="AR124" i="58"/>
  <c r="AO50" i="59"/>
  <c r="AR50" i="58"/>
  <c r="AO109" i="59"/>
  <c r="AR109" i="58"/>
  <c r="AO14" i="59"/>
  <c r="AR14" i="58"/>
  <c r="AO59" i="59"/>
  <c r="AR59" i="58"/>
  <c r="AO111" i="59"/>
  <c r="AR111" i="58"/>
  <c r="AO42" i="59"/>
  <c r="AG11" i="56"/>
  <c r="AI11" i="56"/>
  <c r="AR42" i="58"/>
  <c r="AO66" i="59"/>
  <c r="AG12" i="56"/>
  <c r="AI12" i="56"/>
  <c r="AR66" i="58"/>
  <c r="AO182" i="59"/>
  <c r="AO368" i="59"/>
  <c r="AR182" i="58"/>
  <c r="AO20" i="59"/>
  <c r="AR20" i="58"/>
  <c r="AO68" i="59"/>
  <c r="AR68" i="58"/>
  <c r="AO44" i="59"/>
  <c r="AR44" i="58"/>
  <c r="AO48" i="59"/>
  <c r="AR48" i="58"/>
  <c r="AO130" i="59"/>
  <c r="AR130" i="58"/>
  <c r="AO140" i="59"/>
  <c r="AR140" i="58"/>
  <c r="AO169" i="59"/>
  <c r="AR169" i="58"/>
  <c r="AO108" i="59"/>
  <c r="AR108" i="58"/>
  <c r="AO171" i="59"/>
  <c r="AG7" i="56"/>
  <c r="AI7" i="56"/>
  <c r="AR171" i="58"/>
  <c r="AO76" i="59"/>
  <c r="AR76" i="58"/>
  <c r="AO122" i="59"/>
  <c r="AR122" i="58"/>
  <c r="AO166" i="59"/>
  <c r="AR166" i="58"/>
  <c r="AO117" i="59"/>
  <c r="AR117" i="58"/>
  <c r="AO86" i="59"/>
  <c r="AR86" i="58"/>
  <c r="AO121" i="59"/>
  <c r="AR121" i="58"/>
  <c r="AO163" i="59"/>
  <c r="AR163" i="58"/>
  <c r="AO162" i="59"/>
  <c r="AR162" i="58"/>
  <c r="AO142" i="59"/>
  <c r="AR142" i="58"/>
  <c r="AO31" i="59"/>
  <c r="AR31" i="58"/>
  <c r="AO9" i="59"/>
  <c r="AR9" i="58"/>
  <c r="AN171" i="60"/>
  <c r="AF33" i="56"/>
  <c r="AN42" i="60"/>
  <c r="AF37" i="56"/>
  <c r="AD9" i="55"/>
  <c r="AN17" i="60"/>
  <c r="AF35" i="56"/>
  <c r="AF25" i="56"/>
  <c r="AF19" i="56"/>
  <c r="AM194" i="60"/>
  <c r="AF4" i="55"/>
  <c r="AD49" i="56"/>
  <c r="AO141" i="59"/>
  <c r="AR141" i="58"/>
  <c r="AO103" i="59"/>
  <c r="AR103" i="58"/>
  <c r="AO73" i="59"/>
  <c r="AR73" i="58"/>
  <c r="AO54" i="59"/>
  <c r="AR54" i="58"/>
  <c r="AO96" i="59"/>
  <c r="AR96" i="58"/>
  <c r="AO40" i="59"/>
  <c r="AR40" i="58"/>
  <c r="AO78" i="59"/>
  <c r="AR78" i="58"/>
  <c r="AO134" i="59"/>
  <c r="AG15" i="56"/>
  <c r="AI15" i="56"/>
  <c r="AR134" i="58"/>
  <c r="AO56" i="59"/>
  <c r="AR56" i="58"/>
  <c r="AO115" i="59"/>
  <c r="AR115" i="58"/>
  <c r="AO10" i="59"/>
  <c r="AG8" i="56"/>
  <c r="AI8" i="56"/>
  <c r="AR10" i="58"/>
  <c r="AO13" i="59"/>
  <c r="AR13" i="58"/>
  <c r="AO101" i="59"/>
  <c r="AR101" i="58"/>
  <c r="AO138" i="59"/>
  <c r="AR138" i="58"/>
  <c r="AO55" i="59"/>
  <c r="AR55" i="58"/>
  <c r="AO173" i="59"/>
  <c r="AR173" i="58"/>
  <c r="AO113" i="59"/>
  <c r="AR113" i="58"/>
  <c r="AO178" i="59"/>
  <c r="AO364" i="59"/>
  <c r="AR178" i="58"/>
  <c r="AO112" i="59"/>
  <c r="AR112" i="58"/>
  <c r="AO153" i="59"/>
  <c r="AR153" i="58"/>
  <c r="AO119" i="59"/>
  <c r="AR119" i="58"/>
  <c r="AO84" i="59"/>
  <c r="AG13" i="56"/>
  <c r="AI13" i="56"/>
  <c r="AR84" i="58"/>
  <c r="AO175" i="59"/>
  <c r="AG16" i="56"/>
  <c r="AI16" i="56"/>
  <c r="AR175" i="58"/>
  <c r="AO191" i="59"/>
  <c r="AR191" i="58"/>
  <c r="AO88" i="59"/>
  <c r="AR88" i="58"/>
  <c r="AO100" i="59"/>
  <c r="AR100" i="58"/>
  <c r="AO185" i="59"/>
  <c r="AR185" i="58"/>
  <c r="AO159" i="59"/>
  <c r="AR159" i="58"/>
  <c r="AO87" i="59"/>
  <c r="AR87" i="58"/>
  <c r="AO28" i="59"/>
  <c r="AR28" i="58"/>
  <c r="AO4" i="59"/>
  <c r="AR4" i="58"/>
  <c r="AN193" i="59"/>
  <c r="AF36" i="56"/>
  <c r="AF30" i="56"/>
  <c r="AG8" i="55"/>
  <c r="AO75" i="59"/>
  <c r="AR75" i="58"/>
  <c r="AE25" i="56"/>
  <c r="AO33" i="59"/>
  <c r="AR33" i="58"/>
  <c r="AO145" i="59"/>
  <c r="AR145" i="58"/>
  <c r="AO70" i="59"/>
  <c r="AR70" i="58"/>
  <c r="AO152" i="59"/>
  <c r="AR152" i="58"/>
  <c r="AO83" i="59"/>
  <c r="AR83" i="58"/>
  <c r="AO3" i="59"/>
  <c r="AP196" i="58"/>
  <c r="AP194" i="58"/>
  <c r="AP202" i="58"/>
  <c r="AR202" i="58"/>
  <c r="AP201" i="58"/>
  <c r="AR201" i="58"/>
  <c r="AP199" i="58"/>
  <c r="AP200" i="58"/>
  <c r="AR200" i="58"/>
  <c r="AG10" i="56"/>
  <c r="AI10" i="56"/>
  <c r="AP193" i="58"/>
  <c r="AP207" i="58"/>
  <c r="AR207" i="58"/>
  <c r="AG4" i="56"/>
  <c r="AR3" i="58"/>
  <c r="AO47" i="59"/>
  <c r="AR47" i="58"/>
  <c r="AO94" i="59"/>
  <c r="AR94" i="58"/>
  <c r="AO161" i="59"/>
  <c r="AR161" i="58"/>
  <c r="AO71" i="59"/>
  <c r="AR71" i="58"/>
  <c r="AO149" i="59"/>
  <c r="AR149" i="58"/>
  <c r="AO57" i="59"/>
  <c r="AR57" i="58"/>
  <c r="AO21" i="59"/>
  <c r="AR21" i="58"/>
  <c r="AO132" i="59"/>
  <c r="AR132" i="58"/>
  <c r="AO6" i="59"/>
  <c r="AR6" i="58"/>
  <c r="AO60" i="59"/>
  <c r="AR60" i="58"/>
  <c r="AO114" i="59"/>
  <c r="AR114" i="58"/>
  <c r="AO127" i="59"/>
  <c r="AR127" i="58"/>
  <c r="AO174" i="59"/>
  <c r="AR174" i="58"/>
  <c r="AO116" i="59"/>
  <c r="AR116" i="58"/>
  <c r="AO67" i="59"/>
  <c r="AR67" i="58"/>
  <c r="AO110" i="59"/>
  <c r="AR110" i="58"/>
  <c r="AO126" i="59"/>
  <c r="AR126" i="58"/>
  <c r="AO179" i="59"/>
  <c r="AO365" i="59"/>
  <c r="AR179" i="58"/>
  <c r="AO64" i="59"/>
  <c r="AR64" i="58"/>
  <c r="AO98" i="59"/>
  <c r="AR98" i="58"/>
  <c r="AO144" i="59"/>
  <c r="AR144" i="58"/>
  <c r="AO186" i="59"/>
  <c r="AG6" i="56"/>
  <c r="AI6" i="56"/>
  <c r="AR186" i="58"/>
  <c r="AO128" i="59"/>
  <c r="AR128" i="58"/>
  <c r="AO80" i="59"/>
  <c r="AR80" i="58"/>
  <c r="AO36" i="59"/>
  <c r="AR36" i="58"/>
  <c r="AN175" i="60"/>
  <c r="AF42" i="56"/>
  <c r="AN134" i="60"/>
  <c r="AF41" i="56"/>
  <c r="AN66" i="60"/>
  <c r="AF38" i="56"/>
  <c r="AD23" i="55"/>
  <c r="AI28" i="55"/>
  <c r="AO203" i="58"/>
  <c r="AK193" i="60"/>
  <c r="AK195" i="60"/>
  <c r="AL3" i="60"/>
  <c r="AJ376" i="59"/>
  <c r="AK375" i="59"/>
  <c r="AK377" i="59"/>
  <c r="AL372" i="59"/>
  <c r="AF7" i="55"/>
  <c r="AF9" i="55"/>
  <c r="AN216" i="58"/>
  <c r="AO213" i="58"/>
  <c r="AO67" i="60"/>
  <c r="AQ67" i="59"/>
  <c r="AO161" i="60"/>
  <c r="AQ161" i="59"/>
  <c r="AO119" i="60"/>
  <c r="AQ119" i="59"/>
  <c r="AL193" i="60"/>
  <c r="AL195" i="60"/>
  <c r="AM3" i="60"/>
  <c r="AO36" i="60"/>
  <c r="AQ36" i="59"/>
  <c r="AO126" i="60"/>
  <c r="AQ126" i="59"/>
  <c r="AO116" i="60"/>
  <c r="AQ116" i="59"/>
  <c r="AO114" i="60"/>
  <c r="AQ114" i="59"/>
  <c r="AO132" i="60"/>
  <c r="AQ132" i="59"/>
  <c r="AO149" i="60"/>
  <c r="AQ149" i="59"/>
  <c r="AO94" i="60"/>
  <c r="AQ94" i="59"/>
  <c r="AG3" i="55"/>
  <c r="AP198" i="58"/>
  <c r="AP205" i="58"/>
  <c r="AL26" i="55"/>
  <c r="AL27" i="55"/>
  <c r="D21" i="62"/>
  <c r="E21" i="62"/>
  <c r="D22" i="62"/>
  <c r="E22" i="62"/>
  <c r="AG4" i="55"/>
  <c r="AG19" i="56"/>
  <c r="AR194" i="58"/>
  <c r="AI4" i="55"/>
  <c r="AO152" i="60"/>
  <c r="AQ152" i="59"/>
  <c r="AO33" i="60"/>
  <c r="AQ33" i="59"/>
  <c r="AO4" i="60"/>
  <c r="AQ4" i="59"/>
  <c r="AO159" i="60"/>
  <c r="AQ159" i="59"/>
  <c r="AO88" i="60"/>
  <c r="AQ88" i="59"/>
  <c r="AO153" i="60"/>
  <c r="AQ153" i="59"/>
  <c r="AO56" i="60"/>
  <c r="AQ56" i="59"/>
  <c r="AO171" i="60"/>
  <c r="AG33" i="56"/>
  <c r="AI33" i="56"/>
  <c r="AQ171" i="59"/>
  <c r="AO140" i="60"/>
  <c r="AQ140" i="59"/>
  <c r="AO44" i="60"/>
  <c r="AQ44" i="59"/>
  <c r="AO51" i="60"/>
  <c r="AQ51" i="59"/>
  <c r="AE23" i="55"/>
  <c r="AJ28" i="55"/>
  <c r="AO35" i="60"/>
  <c r="AQ35" i="59"/>
  <c r="AO104" i="60"/>
  <c r="AG40" i="56"/>
  <c r="AI40" i="56"/>
  <c r="AQ104" i="59"/>
  <c r="AO107" i="60"/>
  <c r="AQ107" i="59"/>
  <c r="AO93" i="60"/>
  <c r="AQ93" i="59"/>
  <c r="AO34" i="60"/>
  <c r="AQ34" i="59"/>
  <c r="AC11" i="55"/>
  <c r="AC13" i="55"/>
  <c r="AB15" i="55"/>
  <c r="AB14" i="55"/>
  <c r="AB16" i="55"/>
  <c r="AO177" i="60"/>
  <c r="AQ177" i="59"/>
  <c r="AO102" i="60"/>
  <c r="AQ102" i="59"/>
  <c r="AE9" i="55"/>
  <c r="AO143" i="60"/>
  <c r="AQ143" i="59"/>
  <c r="AO189" i="60"/>
  <c r="AQ189" i="59"/>
  <c r="AO154" i="60"/>
  <c r="AQ154" i="59"/>
  <c r="AO90" i="60"/>
  <c r="AQ90" i="59"/>
  <c r="AO186" i="60"/>
  <c r="AG32" i="56"/>
  <c r="AI32" i="56"/>
  <c r="AQ186" i="59"/>
  <c r="AO64" i="60"/>
  <c r="AQ64" i="59"/>
  <c r="AP214" i="58"/>
  <c r="AG6" i="55"/>
  <c r="AG22" i="55"/>
  <c r="AG21" i="56"/>
  <c r="AI21" i="56"/>
  <c r="AR196" i="58"/>
  <c r="AO113" i="60"/>
  <c r="AQ113" i="59"/>
  <c r="AO138" i="60"/>
  <c r="AQ138" i="59"/>
  <c r="AO40" i="60"/>
  <c r="AQ40" i="59"/>
  <c r="AO73" i="60"/>
  <c r="AQ73" i="59"/>
  <c r="AO9" i="60"/>
  <c r="AQ9" i="59"/>
  <c r="AO162" i="60"/>
  <c r="AQ162" i="59"/>
  <c r="AO86" i="60"/>
  <c r="AQ86" i="59"/>
  <c r="AO122" i="60"/>
  <c r="AQ122" i="59"/>
  <c r="AO182" i="60"/>
  <c r="AQ182" i="59"/>
  <c r="AO42" i="60"/>
  <c r="AG37" i="56"/>
  <c r="AI37" i="56"/>
  <c r="AQ42" i="59"/>
  <c r="AO14" i="60"/>
  <c r="AQ14" i="59"/>
  <c r="AO124" i="60"/>
  <c r="AQ124" i="59"/>
  <c r="AO72" i="60"/>
  <c r="AQ72" i="59"/>
  <c r="AO164" i="60"/>
  <c r="AQ164" i="59"/>
  <c r="AO190" i="60"/>
  <c r="AQ190" i="59"/>
  <c r="AO58" i="60"/>
  <c r="AQ58" i="59"/>
  <c r="AO62" i="60"/>
  <c r="AQ62" i="59"/>
  <c r="AO61" i="60"/>
  <c r="AQ61" i="59"/>
  <c r="AO46" i="60"/>
  <c r="AQ46" i="59"/>
  <c r="AO81" i="60"/>
  <c r="AQ81" i="59"/>
  <c r="AO74" i="60"/>
  <c r="AQ74" i="59"/>
  <c r="AO172" i="60"/>
  <c r="AQ172" i="59"/>
  <c r="AO155" i="60"/>
  <c r="AQ155" i="59"/>
  <c r="AO131" i="60"/>
  <c r="AQ131" i="59"/>
  <c r="AO7" i="60"/>
  <c r="AQ7" i="59"/>
  <c r="AO25" i="60"/>
  <c r="AQ25" i="59"/>
  <c r="AE49" i="56"/>
  <c r="AO146" i="60"/>
  <c r="AQ146" i="59"/>
  <c r="AO170" i="60"/>
  <c r="AQ170" i="59"/>
  <c r="AO63" i="60"/>
  <c r="AQ63" i="59"/>
  <c r="AO118" i="60"/>
  <c r="AQ118" i="59"/>
  <c r="AO181" i="60"/>
  <c r="AQ181" i="59"/>
  <c r="AO79" i="60"/>
  <c r="AQ79" i="59"/>
  <c r="AC18" i="55"/>
  <c r="AC19" i="55"/>
  <c r="AK196" i="60"/>
  <c r="AO80" i="60"/>
  <c r="AQ80" i="59"/>
  <c r="AO110" i="60"/>
  <c r="AQ110" i="59"/>
  <c r="AO71" i="60"/>
  <c r="AQ71" i="59"/>
  <c r="AO108" i="60"/>
  <c r="AQ108" i="59"/>
  <c r="AO130" i="60"/>
  <c r="AQ130" i="59"/>
  <c r="AO68" i="60"/>
  <c r="AQ68" i="59"/>
  <c r="AO16" i="60"/>
  <c r="AQ16" i="59"/>
  <c r="AO123" i="60"/>
  <c r="AQ123" i="59"/>
  <c r="AO106" i="60"/>
  <c r="AQ106" i="59"/>
  <c r="AO167" i="60"/>
  <c r="AQ167" i="59"/>
  <c r="AO30" i="60"/>
  <c r="AQ30" i="59"/>
  <c r="AO180" i="60"/>
  <c r="AQ180" i="59"/>
  <c r="AO27" i="60"/>
  <c r="AQ27" i="59"/>
  <c r="AF44" i="56"/>
  <c r="AF47" i="56"/>
  <c r="AO188" i="60"/>
  <c r="AQ188" i="59"/>
  <c r="AO85" i="60"/>
  <c r="AQ85" i="59"/>
  <c r="AI5" i="55"/>
  <c r="O5" i="54"/>
  <c r="AO184" i="60"/>
  <c r="AQ184" i="59"/>
  <c r="AO53" i="60"/>
  <c r="AQ53" i="59"/>
  <c r="AO24" i="60"/>
  <c r="AQ24" i="59"/>
  <c r="AO49" i="60"/>
  <c r="AQ49" i="59"/>
  <c r="AO52" i="60"/>
  <c r="AQ52" i="59"/>
  <c r="AO127" i="60"/>
  <c r="AQ127" i="59"/>
  <c r="AO174" i="60"/>
  <c r="AQ174" i="59"/>
  <c r="AO60" i="60"/>
  <c r="AQ60" i="59"/>
  <c r="AO21" i="60"/>
  <c r="AQ21" i="59"/>
  <c r="AO47" i="60"/>
  <c r="AQ47" i="59"/>
  <c r="AO193" i="59"/>
  <c r="AG30" i="56"/>
  <c r="AG36" i="56"/>
  <c r="AI36" i="56"/>
  <c r="AQ3" i="59"/>
  <c r="AO70" i="60"/>
  <c r="AQ70" i="59"/>
  <c r="AO28" i="60"/>
  <c r="AQ28" i="59"/>
  <c r="AO185" i="60"/>
  <c r="AQ185" i="59"/>
  <c r="AO191" i="60"/>
  <c r="AQ191" i="59"/>
  <c r="AO84" i="60"/>
  <c r="AG39" i="56"/>
  <c r="AI39" i="56"/>
  <c r="AQ84" i="59"/>
  <c r="AO112" i="60"/>
  <c r="AQ112" i="59"/>
  <c r="AO10" i="60"/>
  <c r="AG34" i="56"/>
  <c r="AI34" i="56"/>
  <c r="AQ10" i="59"/>
  <c r="AO144" i="60"/>
  <c r="AQ144" i="59"/>
  <c r="AR193" i="58"/>
  <c r="AP203" i="58"/>
  <c r="AR199" i="58"/>
  <c r="AR203" i="58"/>
  <c r="AO75" i="60"/>
  <c r="AQ75" i="59"/>
  <c r="AO173" i="60"/>
  <c r="AQ173" i="59"/>
  <c r="AO101" i="60"/>
  <c r="AQ101" i="59"/>
  <c r="AO134" i="60"/>
  <c r="AG41" i="56"/>
  <c r="AI41" i="56"/>
  <c r="AQ134" i="59"/>
  <c r="AO96" i="60"/>
  <c r="AQ96" i="59"/>
  <c r="AO103" i="60"/>
  <c r="AQ103" i="59"/>
  <c r="AO31" i="60"/>
  <c r="AQ31" i="59"/>
  <c r="AO163" i="60"/>
  <c r="AQ163" i="59"/>
  <c r="AO117" i="60"/>
  <c r="AQ117" i="59"/>
  <c r="AO76" i="60"/>
  <c r="AQ76" i="59"/>
  <c r="AO111" i="60"/>
  <c r="AQ111" i="59"/>
  <c r="AO109" i="60"/>
  <c r="AQ109" i="59"/>
  <c r="AO41" i="60"/>
  <c r="AQ41" i="59"/>
  <c r="AO91" i="60"/>
  <c r="AQ91" i="59"/>
  <c r="AO160" i="60"/>
  <c r="AQ160" i="59"/>
  <c r="AO12" i="60"/>
  <c r="AQ12" i="59"/>
  <c r="AO38" i="60"/>
  <c r="AQ38" i="59"/>
  <c r="AO8" i="60"/>
  <c r="AQ8" i="59"/>
  <c r="AO37" i="60"/>
  <c r="AQ37" i="59"/>
  <c r="AO135" i="60"/>
  <c r="AQ135" i="59"/>
  <c r="AO136" i="60"/>
  <c r="AQ136" i="59"/>
  <c r="AO105" i="60"/>
  <c r="AQ105" i="59"/>
  <c r="AO69" i="60"/>
  <c r="AQ69" i="59"/>
  <c r="AO150" i="60"/>
  <c r="AQ150" i="59"/>
  <c r="AO45" i="60"/>
  <c r="AQ45" i="59"/>
  <c r="AF23" i="56"/>
  <c r="AO23" i="60"/>
  <c r="AQ23" i="59"/>
  <c r="AO133" i="60"/>
  <c r="AQ133" i="59"/>
  <c r="AO187" i="60"/>
  <c r="AQ187" i="59"/>
  <c r="AO92" i="60"/>
  <c r="AQ92" i="59"/>
  <c r="AO15" i="60"/>
  <c r="AQ15" i="59"/>
  <c r="AO22" i="60"/>
  <c r="AQ22" i="59"/>
  <c r="AO128" i="60"/>
  <c r="AQ128" i="59"/>
  <c r="AO179" i="60"/>
  <c r="AQ179" i="59"/>
  <c r="AO6" i="60"/>
  <c r="AQ6" i="59"/>
  <c r="AO57" i="60"/>
  <c r="AQ57" i="59"/>
  <c r="AG25" i="56"/>
  <c r="AI4" i="56"/>
  <c r="AI25" i="56"/>
  <c r="AO145" i="60"/>
  <c r="AQ145" i="59"/>
  <c r="AO169" i="60"/>
  <c r="AQ169" i="59"/>
  <c r="AO48" i="60"/>
  <c r="AQ48" i="59"/>
  <c r="AO20" i="60"/>
  <c r="AQ20" i="59"/>
  <c r="AO66" i="60"/>
  <c r="AG38" i="56"/>
  <c r="AI38" i="56"/>
  <c r="AQ66" i="59"/>
  <c r="AO39" i="60"/>
  <c r="AQ39" i="59"/>
  <c r="AO29" i="60"/>
  <c r="AQ29" i="59"/>
  <c r="AO156" i="60"/>
  <c r="AQ156" i="59"/>
  <c r="AO137" i="60"/>
  <c r="AQ137" i="59"/>
  <c r="AG18" i="56"/>
  <c r="AG23" i="56"/>
  <c r="AI5" i="56"/>
  <c r="AI18" i="56"/>
  <c r="AO95" i="60"/>
  <c r="AQ95" i="59"/>
  <c r="AO125" i="60"/>
  <c r="AQ125" i="59"/>
  <c r="AL375" i="59"/>
  <c r="AL377" i="59"/>
  <c r="AL376" i="59"/>
  <c r="AO147" i="60"/>
  <c r="AQ147" i="59"/>
  <c r="AO11" i="60"/>
  <c r="AQ11" i="59"/>
  <c r="AO120" i="60"/>
  <c r="AQ120" i="59"/>
  <c r="AO5" i="60"/>
  <c r="AQ5" i="59"/>
  <c r="AO26" i="60"/>
  <c r="AQ26" i="59"/>
  <c r="AO83" i="60"/>
  <c r="AQ83" i="59"/>
  <c r="AF21" i="55"/>
  <c r="AN196" i="59"/>
  <c r="AO87" i="60"/>
  <c r="AQ87" i="59"/>
  <c r="AO100" i="60"/>
  <c r="AQ100" i="59"/>
  <c r="AO115" i="60"/>
  <c r="AQ115" i="59"/>
  <c r="AO98" i="60"/>
  <c r="AQ98" i="59"/>
  <c r="AO175" i="60"/>
  <c r="AG42" i="56"/>
  <c r="AI42" i="56"/>
  <c r="AQ175" i="59"/>
  <c r="AO178" i="60"/>
  <c r="AQ178" i="59"/>
  <c r="AO55" i="60"/>
  <c r="AQ55" i="59"/>
  <c r="AO13" i="60"/>
  <c r="AQ13" i="59"/>
  <c r="AO78" i="60"/>
  <c r="AQ78" i="59"/>
  <c r="AO54" i="60"/>
  <c r="AQ54" i="59"/>
  <c r="AO141" i="60"/>
  <c r="AQ141" i="59"/>
  <c r="AO142" i="60"/>
  <c r="AQ142" i="59"/>
  <c r="AO121" i="60"/>
  <c r="AQ121" i="59"/>
  <c r="AO166" i="60"/>
  <c r="AQ166" i="59"/>
  <c r="AO59" i="60"/>
  <c r="AQ59" i="59"/>
  <c r="AO50" i="60"/>
  <c r="AQ50" i="59"/>
  <c r="AO18" i="60"/>
  <c r="AQ18" i="59"/>
  <c r="AO17" i="60"/>
  <c r="AG35" i="56"/>
  <c r="AI35" i="56"/>
  <c r="AQ17" i="59"/>
  <c r="AM197" i="59"/>
  <c r="AM198" i="59"/>
  <c r="AM372" i="59"/>
  <c r="AO183" i="60"/>
  <c r="AQ183" i="59"/>
  <c r="AO82" i="60"/>
  <c r="AQ82" i="59"/>
  <c r="AO165" i="60"/>
  <c r="AG31" i="56"/>
  <c r="AQ165" i="59"/>
  <c r="AO158" i="60"/>
  <c r="AQ158" i="59"/>
  <c r="AO97" i="60"/>
  <c r="AQ97" i="59"/>
  <c r="AO65" i="60"/>
  <c r="AQ65" i="59"/>
  <c r="AO148" i="60"/>
  <c r="AQ148" i="59"/>
  <c r="AO32" i="60"/>
  <c r="AQ32" i="59"/>
  <c r="AO176" i="60"/>
  <c r="AQ176" i="59"/>
  <c r="AO99" i="60"/>
  <c r="AQ99" i="59"/>
  <c r="AO168" i="60"/>
  <c r="AQ168" i="59"/>
  <c r="AO19" i="60"/>
  <c r="AQ19" i="59"/>
  <c r="AO43" i="60"/>
  <c r="AQ43" i="59"/>
  <c r="AO129" i="60"/>
  <c r="AQ129" i="59"/>
  <c r="AO77" i="60"/>
  <c r="AQ77" i="59"/>
  <c r="AP210" i="58"/>
  <c r="AR209" i="58"/>
  <c r="O6" i="54"/>
  <c r="AO89" i="60"/>
  <c r="AQ89" i="59"/>
  <c r="AO157" i="60"/>
  <c r="AQ157" i="59"/>
  <c r="AO139" i="60"/>
  <c r="AQ139" i="59"/>
  <c r="AO151" i="60"/>
  <c r="AQ151" i="59"/>
  <c r="AF49" i="56"/>
  <c r="AG7" i="55"/>
  <c r="AG9" i="55"/>
  <c r="AC16" i="55"/>
  <c r="AC14" i="55"/>
  <c r="AC15" i="55"/>
  <c r="AD10" i="55"/>
  <c r="AD11" i="55"/>
  <c r="AD13" i="55"/>
  <c r="AF23" i="55"/>
  <c r="AK28" i="55"/>
  <c r="O3" i="54"/>
  <c r="AI6" i="55"/>
  <c r="AG44" i="56"/>
  <c r="AG47" i="56"/>
  <c r="AI47" i="56"/>
  <c r="AI31" i="56"/>
  <c r="AI44" i="56"/>
  <c r="AI30" i="56"/>
  <c r="AM193" i="60"/>
  <c r="AM195" i="60"/>
  <c r="AN3" i="60"/>
  <c r="D25" i="62"/>
  <c r="AI3" i="55"/>
  <c r="AR198" i="58"/>
  <c r="AN197" i="59"/>
  <c r="AN198" i="59"/>
  <c r="AI23" i="56"/>
  <c r="AG21" i="55"/>
  <c r="AO196" i="59"/>
  <c r="D20" i="62"/>
  <c r="AD18" i="55"/>
  <c r="AD19" i="55"/>
  <c r="AL196" i="60"/>
  <c r="AP211" i="58"/>
  <c r="AR211" i="58"/>
  <c r="O8" i="54"/>
  <c r="AR210" i="58"/>
  <c r="O7" i="54"/>
  <c r="AN372" i="59"/>
  <c r="AQ193" i="59"/>
  <c r="AO216" i="58"/>
  <c r="AP213" i="58"/>
  <c r="AM376" i="59"/>
  <c r="AM375" i="59"/>
  <c r="AM377" i="59"/>
  <c r="AN194" i="60"/>
  <c r="AI19" i="56"/>
  <c r="AD16" i="55"/>
  <c r="AD14" i="55"/>
  <c r="AD15" i="55"/>
  <c r="AE10" i="55"/>
  <c r="AE11" i="55"/>
  <c r="AE13" i="55"/>
  <c r="AN376" i="59"/>
  <c r="AN375" i="59"/>
  <c r="AN377" i="59"/>
  <c r="AO198" i="59"/>
  <c r="AO372" i="59"/>
  <c r="AO197" i="59"/>
  <c r="AI7" i="55"/>
  <c r="AG23" i="55"/>
  <c r="AL28" i="55"/>
  <c r="G25" i="62"/>
  <c r="E25" i="62"/>
  <c r="AP216" i="58"/>
  <c r="AR213" i="58"/>
  <c r="S3" i="54"/>
  <c r="AE18" i="55"/>
  <c r="AE19" i="55"/>
  <c r="AM196" i="60"/>
  <c r="AI49" i="56"/>
  <c r="AN193" i="60"/>
  <c r="AN195" i="60"/>
  <c r="AO3" i="60"/>
  <c r="AO193" i="60"/>
  <c r="D24" i="62"/>
  <c r="AQ196" i="59"/>
  <c r="AQ372" i="59"/>
  <c r="E20" i="62"/>
  <c r="G20" i="62"/>
  <c r="AG49" i="56"/>
  <c r="AE14" i="55"/>
  <c r="AE15" i="55"/>
  <c r="AE16" i="55"/>
  <c r="AF10" i="55"/>
  <c r="AF11" i="55"/>
  <c r="AF13" i="55"/>
  <c r="G24" i="62"/>
  <c r="E24" i="62"/>
  <c r="AO376" i="59"/>
  <c r="AO375" i="59"/>
  <c r="AO377" i="59"/>
  <c r="AN196" i="60"/>
  <c r="AF18" i="55"/>
  <c r="AF19" i="55"/>
  <c r="D26" i="62"/>
  <c r="AO195" i="60"/>
  <c r="AF14" i="55"/>
  <c r="AG10" i="55"/>
  <c r="AG11" i="55"/>
  <c r="AG13" i="55"/>
  <c r="AF16" i="55"/>
  <c r="AF15" i="55"/>
  <c r="E26" i="62"/>
  <c r="G26" i="62"/>
  <c r="AO196" i="60"/>
  <c r="AG18" i="55"/>
  <c r="AG19" i="55"/>
  <c r="AG14" i="55"/>
  <c r="F6" i="54"/>
  <c r="AG16" i="55"/>
  <c r="F7" i="54"/>
  <c r="AG15" i="55"/>
  <c r="G6" i="54"/>
</calcChain>
</file>

<file path=xl/sharedStrings.xml><?xml version="1.0" encoding="utf-8"?>
<sst xmlns="http://schemas.openxmlformats.org/spreadsheetml/2006/main" count="1307" uniqueCount="453">
  <si>
    <t>Gutter replacement - Shop</t>
  </si>
  <si>
    <t xml:space="preserve">Siding, Shop, vinyl </t>
  </si>
  <si>
    <t>Fire alarm system - Shop</t>
  </si>
  <si>
    <t>Boiler, outdoor pool</t>
  </si>
  <si>
    <t>Boiler, indoor pool</t>
  </si>
  <si>
    <t>RV Lot</t>
  </si>
  <si>
    <t>Parking Lot - Shop</t>
  </si>
  <si>
    <t>Linvale Place</t>
  </si>
  <si>
    <t>Parking Lot - 250</t>
  </si>
  <si>
    <t>Vehicle hoist  1992</t>
  </si>
  <si>
    <t>Window replacement, Office</t>
  </si>
  <si>
    <t>Golf Course Bridge</t>
  </si>
  <si>
    <t>Sauna, Women's, replace</t>
  </si>
  <si>
    <t>Sauna, Men's, replace</t>
  </si>
  <si>
    <t>Chemical control system, indoor pool/spa</t>
  </si>
  <si>
    <t>Well 150 hp: Pump &amp; Motor rebuild/replace</t>
  </si>
  <si>
    <t>Irrigation Design</t>
  </si>
  <si>
    <t>Update Field Controls</t>
  </si>
  <si>
    <t>Update Pump Station</t>
  </si>
  <si>
    <t>Deck, indoor pool, multi-layered surface</t>
  </si>
  <si>
    <t>Deck, outdoor pool, colored concrete</t>
  </si>
  <si>
    <t>Pool, outdoor, plaster finish</t>
  </si>
  <si>
    <t>Fence, Shop, (vinyl)</t>
  </si>
  <si>
    <t>Roof, Shop, asphalt</t>
  </si>
  <si>
    <t>Well Rehab</t>
  </si>
  <si>
    <t>Fence, Garden, (vinyl)</t>
  </si>
  <si>
    <t>Aerator, shatter 4"</t>
  </si>
  <si>
    <t>Aerifier, fairway</t>
  </si>
  <si>
    <t>Aerifier, greens</t>
  </si>
  <si>
    <t>Dresser, top</t>
  </si>
  <si>
    <t>Digger, Trencher</t>
  </si>
  <si>
    <t>Mower, triplex # 601</t>
  </si>
  <si>
    <t>Mower, triplex # 606</t>
  </si>
  <si>
    <t>Mower, rough # 610</t>
  </si>
  <si>
    <t>Mower, fairway # 616</t>
  </si>
  <si>
    <t>Rake, bunker</t>
  </si>
  <si>
    <t>Spray Pro</t>
  </si>
  <si>
    <t>Sweeper/Thatcher</t>
  </si>
  <si>
    <t>Tractor w/forklift &amp; backhoe</t>
  </si>
  <si>
    <t>HD Utility Vehicle # 603</t>
  </si>
  <si>
    <t>LD Utility Vehicle # 607</t>
  </si>
  <si>
    <t>HD Utility Vehicle # 614</t>
  </si>
  <si>
    <t>Verticutt reels</t>
  </si>
  <si>
    <t>Weather Station</t>
  </si>
  <si>
    <t>Billiard tables</t>
  </si>
  <si>
    <t>Piano - Auditorium</t>
  </si>
  <si>
    <t>Auditorium chairs</t>
  </si>
  <si>
    <t>Lobby, café chair, arms</t>
  </si>
  <si>
    <t>Lobby chairs</t>
  </si>
  <si>
    <t>Restaurant bar stools</t>
  </si>
  <si>
    <t>Paint Clubhouse</t>
  </si>
  <si>
    <t>Security Cameras</t>
  </si>
  <si>
    <t>Fence, Level Spreader</t>
  </si>
  <si>
    <t>Elevator</t>
  </si>
  <si>
    <t>Solar Panels/heat exchanger</t>
  </si>
  <si>
    <t xml:space="preserve">Dimming system auditorium </t>
  </si>
  <si>
    <t xml:space="preserve">POOL/water filter </t>
  </si>
  <si>
    <t>Spa, Two variable speed motors</t>
  </si>
  <si>
    <t>Pool variable speed motors</t>
  </si>
  <si>
    <t>Golf cart Electric</t>
  </si>
  <si>
    <t>Paint Shop</t>
  </si>
  <si>
    <t>Fence, outdoor pool (metal)</t>
  </si>
  <si>
    <t>Skid Steer</t>
  </si>
  <si>
    <t>Blower</t>
  </si>
  <si>
    <t>Cart Washer</t>
  </si>
  <si>
    <t>Lake Aerator North</t>
  </si>
  <si>
    <t>Lake Aerator Large</t>
  </si>
  <si>
    <t>Lake Fountain Large</t>
  </si>
  <si>
    <t xml:space="preserve">Lake Fountain North </t>
  </si>
  <si>
    <t>Waterfall Rebuild</t>
  </si>
  <si>
    <t>Spare Greens Reels</t>
  </si>
  <si>
    <t>Spare Tees Reels</t>
  </si>
  <si>
    <t>Stump Grinder Attachment</t>
  </si>
  <si>
    <t>Life</t>
  </si>
  <si>
    <t>Age</t>
  </si>
  <si>
    <t>Key Variables</t>
  </si>
  <si>
    <t>Values</t>
  </si>
  <si>
    <t>Success Ratios</t>
  </si>
  <si>
    <t>Item</t>
  </si>
  <si>
    <t>Unit</t>
  </si>
  <si>
    <t>Notes</t>
  </si>
  <si>
    <t>Amount Needed (100%)</t>
  </si>
  <si>
    <t>Units</t>
  </si>
  <si>
    <t>Base Cost</t>
  </si>
  <si>
    <t>Remain Life</t>
  </si>
  <si>
    <t>Road Sealcoat</t>
  </si>
  <si>
    <t>Inflation Rate</t>
  </si>
  <si>
    <t>Earnings Rate</t>
  </si>
  <si>
    <t>Analysis Year</t>
  </si>
  <si>
    <t>Last Done</t>
  </si>
  <si>
    <t>Cost Year</t>
  </si>
  <si>
    <t>Total Costs</t>
  </si>
  <si>
    <t>End of Year Balance</t>
  </si>
  <si>
    <t>'Bank' Balance</t>
  </si>
  <si>
    <t>'Bank' Deposit</t>
  </si>
  <si>
    <t>HGMD NRSS Full Funding</t>
  </si>
  <si>
    <t>Average Per Unit Per Month</t>
  </si>
  <si>
    <t>Unit Cost</t>
  </si>
  <si>
    <t>Year Net</t>
  </si>
  <si>
    <t>H G M D</t>
  </si>
  <si>
    <t>30 Year Total</t>
  </si>
  <si>
    <t>Cycle Offset</t>
  </si>
  <si>
    <t>Pond Repairs/Maintenance</t>
  </si>
  <si>
    <t>Deposit Adjustment</t>
  </si>
  <si>
    <t>Insurance Covered</t>
  </si>
  <si>
    <t>Storage tank domestic for Club</t>
  </si>
  <si>
    <t>Boiler for club</t>
  </si>
  <si>
    <t>Inventory Remodel</t>
  </si>
  <si>
    <t>each</t>
  </si>
  <si>
    <t>Furnace &amp; AC Unit (Maint Bldg)</t>
  </si>
  <si>
    <t>Gas Storage Tank</t>
  </si>
  <si>
    <t>Gas Dispensor</t>
  </si>
  <si>
    <t>Gas Monitoring System</t>
  </si>
  <si>
    <t>Floor, Dance flooring</t>
  </si>
  <si>
    <t>Floor, Stage flooring</t>
  </si>
  <si>
    <t>square yard</t>
  </si>
  <si>
    <t>group</t>
  </si>
  <si>
    <t>Management Office/Board Room</t>
  </si>
  <si>
    <t>Restaurant Outdoor Freezer</t>
  </si>
  <si>
    <t>Facilities &amp; Equipment</t>
  </si>
  <si>
    <t>Manufacturer is Trane</t>
  </si>
  <si>
    <t>Manufacturer is McQuay</t>
  </si>
  <si>
    <t>Return Air Unit - #2</t>
  </si>
  <si>
    <t>Return Air Unit - #1</t>
  </si>
  <si>
    <t>Pool Dehumidification Unit</t>
  </si>
  <si>
    <t>Manufacturer is INNOVENT</t>
  </si>
  <si>
    <t>Same data used in HGA Unit Costs</t>
  </si>
  <si>
    <t>HGMD Facility and Equipment Capital Project Construction and Replacement Unit Costs</t>
  </si>
  <si>
    <t xml:space="preserve">     Base Rate</t>
  </si>
  <si>
    <t xml:space="preserve">     High Rate</t>
  </si>
  <si>
    <t>Minimum Capital Project Cost</t>
  </si>
  <si>
    <t xml:space="preserve">     Split at</t>
  </si>
  <si>
    <t>Target Full Funding Balance Share</t>
  </si>
  <si>
    <t>Chart 3</t>
  </si>
  <si>
    <t>Chart 2</t>
  </si>
  <si>
    <t>Chart 1</t>
  </si>
  <si>
    <t>Combined Earnings Rate</t>
  </si>
  <si>
    <t>Fund Earnings</t>
  </si>
  <si>
    <t>Special Balance Transfers</t>
  </si>
  <si>
    <t>FF Balance</t>
  </si>
  <si>
    <t>% Share FF Balance</t>
  </si>
  <si>
    <t>FF Deposit</t>
  </si>
  <si>
    <t>Pay as You Go Year</t>
  </si>
  <si>
    <t>Pay as You Go Fee</t>
  </si>
  <si>
    <t xml:space="preserve">   % Change</t>
  </si>
  <si>
    <t>Category</t>
  </si>
  <si>
    <t>BUILDING/AREA</t>
  </si>
  <si>
    <t>Projects Expenditures by Year by Category for 30-Year Period</t>
  </si>
  <si>
    <t>Order</t>
  </si>
  <si>
    <t>Project Totals</t>
  </si>
  <si>
    <t>Insurance Adjustments</t>
  </si>
  <si>
    <t>Capital Expense Totals</t>
  </si>
  <si>
    <t>Fund Deposits by Year by Category for 30-Year Period</t>
  </si>
  <si>
    <t>Sort Order</t>
  </si>
  <si>
    <t>Pair Year</t>
  </si>
  <si>
    <t>Off set</t>
  </si>
  <si>
    <t>Pair Life</t>
  </si>
  <si>
    <t>PROJECT TOTALS</t>
  </si>
  <si>
    <t>Impound Fund Paybacks</t>
  </si>
  <si>
    <t>'Pay as You Go' Capital Fee</t>
  </si>
  <si>
    <t>Total Project Count</t>
  </si>
  <si>
    <t>PROJECT DEPOSIT TOTALS</t>
  </si>
  <si>
    <t>Fund DEPOSIT TOTALS</t>
  </si>
  <si>
    <t>Unit Per Month Average</t>
  </si>
  <si>
    <t>Net FF Deposit</t>
  </si>
  <si>
    <t>Actual</t>
  </si>
  <si>
    <t>Adj Age</t>
  </si>
  <si>
    <t>Future Cost to Replace</t>
  </si>
  <si>
    <t>PROJECT BALANCE TOTALS</t>
  </si>
  <si>
    <t>Insurance Adjustment</t>
  </si>
  <si>
    <t>FUND BALANCE TOTALS</t>
  </si>
  <si>
    <t>Balance Change</t>
  </si>
  <si>
    <t>HGMD Fee Deposits</t>
  </si>
  <si>
    <t>Insurance Covered Deposits</t>
  </si>
  <si>
    <t>Other Revenue Covered Deposits</t>
  </si>
  <si>
    <t>Start "Rainy Day" Fund at</t>
  </si>
  <si>
    <t>Capital Fee Adjustments</t>
  </si>
  <si>
    <t xml:space="preserve">Kilns </t>
  </si>
  <si>
    <t>Unit #1 Compressor 1</t>
  </si>
  <si>
    <t>Unit #1 Compressor 2</t>
  </si>
  <si>
    <t>Unit #1 Condensing Coil</t>
  </si>
  <si>
    <t>Unit #1 Blower Motor</t>
  </si>
  <si>
    <t>Unit #1 Motherboard</t>
  </si>
  <si>
    <t>Boiler #1 Copper Coil</t>
  </si>
  <si>
    <t>Storage tank Rendezvous</t>
  </si>
  <si>
    <t>Boiler #2 Copper Coil</t>
  </si>
  <si>
    <t>Storage Tank Domestic for Club House</t>
  </si>
  <si>
    <t>Elevator Motor</t>
  </si>
  <si>
    <t>Elevator Tank Assembly</t>
  </si>
  <si>
    <t>Rendezvous RTU  #1</t>
  </si>
  <si>
    <t>RTU#2 Evaporitive Coil</t>
  </si>
  <si>
    <t>RTU#2 Condensing Coil</t>
  </si>
  <si>
    <t>RTU#2 Compressor #1</t>
  </si>
  <si>
    <t>RTU#2 Compressor #2</t>
  </si>
  <si>
    <t>RTU#2 Blower Motor</t>
  </si>
  <si>
    <t>RTU#2 Motherboard</t>
  </si>
  <si>
    <t>RTU#3 Compressor #1</t>
  </si>
  <si>
    <t>RTU#3 Compressor #2</t>
  </si>
  <si>
    <t>RTU#3 Compressor #3</t>
  </si>
  <si>
    <t>RTU#3 Compressor #4</t>
  </si>
  <si>
    <t>RTU#3 Evaporative Coil</t>
  </si>
  <si>
    <t>RTU#3 Blower Motor</t>
  </si>
  <si>
    <t>Freezer Evaporative Coil</t>
  </si>
  <si>
    <t>Fence Outdoor Pool (metal)</t>
  </si>
  <si>
    <t>Clubhouse Pool PDU</t>
  </si>
  <si>
    <t>Solar Panels</t>
  </si>
  <si>
    <t>Outdoor Pool Heater/Boiler</t>
  </si>
  <si>
    <t>Pool Water Filter</t>
  </si>
  <si>
    <t xml:space="preserve">Indoor Pool UV System </t>
  </si>
  <si>
    <t>Indoor Pool Heater/ Boiler</t>
  </si>
  <si>
    <t>Overflow Lot Across/216</t>
  </si>
  <si>
    <t>Rendezvous Motherboard</t>
  </si>
  <si>
    <t>Rendezvous Blower Motor</t>
  </si>
  <si>
    <t>Rendezvous Make Up Air</t>
  </si>
  <si>
    <t>RTU #1 Indoor Coil Assembly</t>
  </si>
  <si>
    <t>Boiler</t>
  </si>
  <si>
    <t>Clubhouse Kilns</t>
  </si>
  <si>
    <t>Unit #1 Outdoor Coil</t>
  </si>
  <si>
    <t>HVAC #1 Outdoor Coil</t>
  </si>
  <si>
    <t>HVAC #1 Compressor 1</t>
  </si>
  <si>
    <t>HVAC #1 Compressor 2</t>
  </si>
  <si>
    <t>HVAC #1 Motherboard</t>
  </si>
  <si>
    <t xml:space="preserve">HVAC#1 EVAP Cooler </t>
  </si>
  <si>
    <t>HVAC #1 Indoor Coil</t>
  </si>
  <si>
    <t>Rendezvous Evaporative</t>
  </si>
  <si>
    <t>HVAC Boiler #2 Copper Coil</t>
  </si>
  <si>
    <t xml:space="preserve">Compressor #1 Pool </t>
  </si>
  <si>
    <t>Compressor #1 Pool</t>
  </si>
  <si>
    <t>Evaporative Coil Pool</t>
  </si>
  <si>
    <t>Condensing Coil Pool</t>
  </si>
  <si>
    <t>Indoor Pool Heater/Boiler</t>
  </si>
  <si>
    <t>CO</t>
  </si>
  <si>
    <t>GC</t>
  </si>
  <si>
    <t>PC</t>
  </si>
  <si>
    <t>CR</t>
  </si>
  <si>
    <t>Golf Equip</t>
  </si>
  <si>
    <t>Sealcoat</t>
  </si>
  <si>
    <t>Irrigation Hole 1 &amp; 2</t>
  </si>
  <si>
    <t>Irrigation Hole 3 &amp; 4</t>
  </si>
  <si>
    <t>Irrigation Hole 5 &amp; 6</t>
  </si>
  <si>
    <t>Irrigation Hole 7 &amp; 8</t>
  </si>
  <si>
    <t>Irrigation Hole 9 &amp; North Lake</t>
  </si>
  <si>
    <t>Pool Recirculation Motor</t>
  </si>
  <si>
    <t>Two variable speed motors</t>
  </si>
  <si>
    <t>Clubhouse Equip</t>
  </si>
  <si>
    <t>Lottery</t>
  </si>
  <si>
    <t>Insurance</t>
  </si>
  <si>
    <t>Foundation/Lottery Covered</t>
  </si>
  <si>
    <t>Property Tax Covered</t>
  </si>
  <si>
    <t>Foundatioin</t>
  </si>
  <si>
    <t>Prop Tax</t>
  </si>
  <si>
    <t>Base Capital Expense Totals</t>
  </si>
  <si>
    <t xml:space="preserve">   Insurance Covered Costs</t>
  </si>
  <si>
    <t xml:space="preserve">   Property Tax Covering Costs</t>
  </si>
  <si>
    <t xml:space="preserve">   Lottery Fund Revenues Covering Costs</t>
  </si>
  <si>
    <t xml:space="preserve">   Foundation Revenues Covering Cost</t>
  </si>
  <si>
    <t>Special Revenues</t>
  </si>
  <si>
    <t>Total Deposits</t>
  </si>
  <si>
    <t>Building/Area/Other:</t>
  </si>
  <si>
    <t>Balance (30-Year):</t>
  </si>
  <si>
    <t>Current</t>
  </si>
  <si>
    <t>Proposed</t>
  </si>
  <si>
    <t>Change</t>
  </si>
  <si>
    <t>Unit Cost:</t>
  </si>
  <si>
    <t>Units:</t>
  </si>
  <si>
    <t>Characteristics</t>
  </si>
  <si>
    <t>Notes:</t>
  </si>
  <si>
    <t>Heather Gardens Association</t>
  </si>
  <si>
    <t>Proposed Component Change Assessment</t>
  </si>
  <si>
    <t>Last Done:</t>
  </si>
  <si>
    <t>Estimated Life:</t>
  </si>
  <si>
    <t>Cycle Offset:</t>
  </si>
  <si>
    <t>Inflation Adjustment</t>
  </si>
  <si>
    <t>Forecast Cost:</t>
  </si>
  <si>
    <t>Replacement Year:</t>
  </si>
  <si>
    <t>Expenses (30 years):</t>
  </si>
  <si>
    <t>Deposits (30 Years):</t>
  </si>
  <si>
    <t>Number Replacements:</t>
  </si>
  <si>
    <t>Specs:</t>
  </si>
  <si>
    <t>Category Name:</t>
  </si>
  <si>
    <t>Requires uniqueness in Building/Area column values (which does not exist for HGA)</t>
  </si>
  <si>
    <t>When changing year, requires manually finding alternate year expenses</t>
  </si>
  <si>
    <t>Manually enter category name</t>
  </si>
  <si>
    <t>Unit Cost Year:</t>
  </si>
  <si>
    <t>Tennis Court resurface</t>
  </si>
  <si>
    <t xml:space="preserve">CR </t>
  </si>
  <si>
    <t>Sound System (Amps, board, mics, monitors)</t>
  </si>
  <si>
    <t>Exterior</t>
  </si>
  <si>
    <t>Pools</t>
  </si>
  <si>
    <t>Restaurant</t>
  </si>
  <si>
    <t>Maintenance Bldg</t>
  </si>
  <si>
    <t xml:space="preserve">Furnace &amp; AC Unit </t>
  </si>
  <si>
    <t>Golf Course</t>
  </si>
  <si>
    <t>Bedknife Grinder</t>
  </si>
  <si>
    <t>Golf equipment lift</t>
  </si>
  <si>
    <t>Club HVAC</t>
  </si>
  <si>
    <t>Club Exterior</t>
  </si>
  <si>
    <t>Fire alarm system - Club</t>
  </si>
  <si>
    <t>Auditorium floor</t>
  </si>
  <si>
    <t>Club Lobby and Hallways</t>
  </si>
  <si>
    <t>Upstairs Hallways/Activity Rooms</t>
  </si>
  <si>
    <t>Locker Room Floor Tile</t>
  </si>
  <si>
    <t>Auditorium Curtain</t>
  </si>
  <si>
    <t>Lockers</t>
  </si>
  <si>
    <t>Auditorium stage floor</t>
  </si>
  <si>
    <t>Locker Room Showers/Wall Tile</t>
  </si>
  <si>
    <t>Window replacement, Club</t>
  </si>
  <si>
    <t>Window replacement, Offices</t>
  </si>
  <si>
    <t>Directional Signs</t>
  </si>
  <si>
    <t>Strength Training Equipment</t>
  </si>
  <si>
    <t>Golf Course Scoreboard</t>
  </si>
  <si>
    <t>Club Point of Sale System</t>
  </si>
  <si>
    <t>Irrigation Putting Green</t>
  </si>
  <si>
    <t>Indoor Pool Lighting</t>
  </si>
  <si>
    <t>Women's/Men's Restroom Renovation</t>
  </si>
  <si>
    <t>RV Lot Fence</t>
  </si>
  <si>
    <t>Restaurant dining tables 48"</t>
  </si>
  <si>
    <t>Restaurant dining tables 60"</t>
  </si>
  <si>
    <t>Banquet Room chairs</t>
  </si>
  <si>
    <t>Chef's Serving Table</t>
  </si>
  <si>
    <t>Pass through refrigerator</t>
  </si>
  <si>
    <t>Convection Oven</t>
  </si>
  <si>
    <t xml:space="preserve">Gutter replacement </t>
  </si>
  <si>
    <t>Parking Lot - Club</t>
  </si>
  <si>
    <t>Restaurant Point of Sale System</t>
  </si>
  <si>
    <t>Club Flooring</t>
  </si>
  <si>
    <t>Banquet Room Carpet</t>
  </si>
  <si>
    <t>Component</t>
  </si>
  <si>
    <t>Exercise Room Floor</t>
  </si>
  <si>
    <t>Clubhouse Carpeting 5 year life</t>
  </si>
  <si>
    <t>Boiler Rendezvous</t>
  </si>
  <si>
    <t>Storage tank domestic for Rendezvous</t>
  </si>
  <si>
    <t>Fire alarm system - clubhouse</t>
  </si>
  <si>
    <t>Window replacement, clubhouse</t>
  </si>
  <si>
    <t xml:space="preserve">Mower, triplex </t>
  </si>
  <si>
    <t>Floor, Auditorium</t>
  </si>
  <si>
    <t>sq ft</t>
  </si>
  <si>
    <t>Exercise equipment strength</t>
  </si>
  <si>
    <t>Locker Room Showers and Wall Tile</t>
  </si>
  <si>
    <t>Board room AV system</t>
  </si>
  <si>
    <t>Auditorium sound system</t>
  </si>
  <si>
    <t>Auditorium Sound system</t>
  </si>
  <si>
    <t>Mens/Womens Restrooms</t>
  </si>
  <si>
    <t xml:space="preserve">Dining Room chairs </t>
  </si>
  <si>
    <t>Restaurant AV system</t>
  </si>
  <si>
    <t xml:space="preserve">Carpet: Golf Shop/Bag Storage </t>
  </si>
  <si>
    <t>Road Repair &amp; Replace (asphalt)</t>
  </si>
  <si>
    <t>Gutter replacement - Clubhouse</t>
  </si>
  <si>
    <t>Pool lift</t>
  </si>
  <si>
    <t>Rendezvous:  Make Up Air Unit - #1 Heater/swamp cooler</t>
  </si>
  <si>
    <t>Rendezvous: Roof Top Unit - #1</t>
  </si>
  <si>
    <t>Irrigation System - 2 Holes</t>
  </si>
  <si>
    <t>Restaurant dining chairs</t>
  </si>
  <si>
    <t>Restaurant dining tables square</t>
  </si>
  <si>
    <t>Restaurant dining tables round</t>
  </si>
  <si>
    <t>Sauna, replace</t>
  </si>
  <si>
    <t>Boiler Unit #1 Rendezvous</t>
  </si>
  <si>
    <t>Boiler Unit #2 Clubhouse</t>
  </si>
  <si>
    <t>Front lanai</t>
  </si>
  <si>
    <t>Rear Lanai</t>
  </si>
  <si>
    <t>Clubhouse Mobile Lift</t>
  </si>
  <si>
    <t>Mobile Lift</t>
  </si>
  <si>
    <t>Restaurant laminate flooring</t>
  </si>
  <si>
    <t>Restaurant carpet</t>
  </si>
  <si>
    <t>Clubhouse Carpeting 8 year life</t>
  </si>
  <si>
    <t>Golf Shop Bag Storage flooring</t>
  </si>
  <si>
    <t>Golf Shop flooring</t>
  </si>
  <si>
    <t>HVAC #1 Variable Speed Motor</t>
  </si>
  <si>
    <t>Repair &amp; Replace (concrete)</t>
  </si>
  <si>
    <t>Year Start and Year End</t>
  </si>
  <si>
    <t>`</t>
  </si>
  <si>
    <t>sq yd</t>
  </si>
  <si>
    <t xml:space="preserve">Cart Washer (Steam pressure) </t>
  </si>
  <si>
    <t>Security System Golf shop</t>
  </si>
  <si>
    <t>Grinder, Reel</t>
  </si>
  <si>
    <t>LD Utility Vehicle # 608 (cab with snow plow)</t>
  </si>
  <si>
    <t>Ventrac Multi Use with attachments</t>
  </si>
  <si>
    <t>Golf Path-- concrete repair &amp; replace</t>
  </si>
  <si>
    <t>Golf Path--asphalt repair &amp; replace</t>
  </si>
  <si>
    <t>Golf Path--asphalt sealcoat</t>
  </si>
  <si>
    <t>Cart Path--Asphalt R&amp;R Map A-3</t>
  </si>
  <si>
    <t xml:space="preserve">Cart Path--Asphalt R&amp;R Map A-1 </t>
  </si>
  <si>
    <t xml:space="preserve">Cart Path--Asphalt R&amp;R Map A-2 </t>
  </si>
  <si>
    <t>Cart Path--Concrete Map C-1</t>
  </si>
  <si>
    <t>Cart Path--Concrete Map C-3</t>
  </si>
  <si>
    <t>Cart Path--Concrete Map C-5</t>
  </si>
  <si>
    <t>Cart Path--Concrete Map C-6</t>
  </si>
  <si>
    <t>Cart Path--Concrete Map C-7</t>
  </si>
  <si>
    <t>LF</t>
  </si>
  <si>
    <t>Fence, Golf Course Pond (vinyl)</t>
  </si>
  <si>
    <t>Fence Level Spreader</t>
  </si>
  <si>
    <t>Fence, Golf Course Retaining Wall (vinyl)</t>
  </si>
  <si>
    <t>Roof, Clubhouse, shingles</t>
  </si>
  <si>
    <t xml:space="preserve">Roof, Clubhouse, TPO         </t>
  </si>
  <si>
    <t>Roof, Picnic Pavilion, shingles</t>
  </si>
  <si>
    <t>Roof, Shop, shingles</t>
  </si>
  <si>
    <t>Roof, Golf Course Pump House, TPO</t>
  </si>
  <si>
    <t>Golf cart Fleet Batteries (6 per cart)</t>
  </si>
  <si>
    <t xml:space="preserve">Roof, Club, TPO        </t>
  </si>
  <si>
    <t>Roof, Club, shingles</t>
  </si>
  <si>
    <t>Golf Course Retaining Wall Fence</t>
  </si>
  <si>
    <t>Pump House Roof TPO</t>
  </si>
  <si>
    <t>The following are operating costs for now, until they exceed $5,000 capital projects threshold:</t>
  </si>
  <si>
    <t xml:space="preserve">Mower, triplex # 605 </t>
  </si>
  <si>
    <t>Boiler, indoor spa</t>
  </si>
  <si>
    <t>Indoor Spa Heater/Boiler</t>
  </si>
  <si>
    <t>Clubhouse Office Upgrade</t>
  </si>
  <si>
    <t>Asphalt R&amp;R</t>
  </si>
  <si>
    <t>Cart Path--Concrete Map C-2, C-5</t>
  </si>
  <si>
    <t>Cart Path--Concrete Map C-4, C-7</t>
  </si>
  <si>
    <t>Paint Maintenance bldg</t>
  </si>
  <si>
    <t>Clubhouse</t>
  </si>
  <si>
    <t>Golf</t>
  </si>
  <si>
    <t>Property</t>
  </si>
  <si>
    <t>L</t>
  </si>
  <si>
    <t>F</t>
  </si>
  <si>
    <t>Property Policy</t>
  </si>
  <si>
    <t>Alternate Funding Sources Assessment</t>
  </si>
  <si>
    <t>Alternate Funding Source Used</t>
  </si>
  <si>
    <t>Amount</t>
  </si>
  <si>
    <t>Bank Balance</t>
  </si>
  <si>
    <t>Annual Deposit</t>
  </si>
  <si>
    <t>30 Year Balance</t>
  </si>
  <si>
    <t>Lottery $</t>
  </si>
  <si>
    <t>Foundation $</t>
  </si>
  <si>
    <t>Prop Tax $</t>
  </si>
  <si>
    <t xml:space="preserve">   Interest Rate</t>
  </si>
  <si>
    <t>Payment</t>
  </si>
  <si>
    <t>Current Bond Status</t>
  </si>
  <si>
    <t xml:space="preserve">   Bond Life</t>
  </si>
  <si>
    <t xml:space="preserve">  /Unit</t>
  </si>
  <si>
    <t xml:space="preserve"> /Unit</t>
  </si>
  <si>
    <t xml:space="preserve">   Orig Fee</t>
  </si>
  <si>
    <t xml:space="preserve">  /Month</t>
  </si>
  <si>
    <t xml:space="preserve">   Year Bonds</t>
  </si>
  <si>
    <t>Year Paid</t>
  </si>
  <si>
    <t>Annual Payment (principal+origination plus interest)</t>
  </si>
  <si>
    <t>==&gt;</t>
  </si>
  <si>
    <t>Per unit per year</t>
  </si>
  <si>
    <t>Per Unit Per Month equivalent</t>
  </si>
  <si>
    <t>Years Low Balance</t>
  </si>
  <si>
    <t>Fund Balance &lt; Zero</t>
  </si>
  <si>
    <t>Fund Balance &lt; $250,000</t>
  </si>
  <si>
    <t>Fund Balance &lt; $500,000</t>
  </si>
  <si>
    <t>T</t>
  </si>
  <si>
    <t>Lottery Prior year Balance</t>
  </si>
  <si>
    <t>Lottery Expenses</t>
  </si>
  <si>
    <t>Lottery New Deposit</t>
  </si>
  <si>
    <t>Lottery Interest</t>
  </si>
  <si>
    <t>Foundation Prior year Balance</t>
  </si>
  <si>
    <t>Foundation Expenses</t>
  </si>
  <si>
    <t>Foundation New Deposit</t>
  </si>
  <si>
    <t>Foundation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</si>
</sst>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&quot;$&quot;#,##0;[Red]\-&quot;$&quot;#,##0"/>
    <numFmt numFmtId="168" formatCode="&quot;$&quot;#,##0.00;[Red]\-&quot;$&quot;#,##0.00"/>
    <numFmt numFmtId="169" formatCode="&quot;Yes&quot;;&quot;No&quot;;&quot;No&quot;"/>
    <numFmt numFmtId="170" formatCode="#,##0;[Red]\-#,##0"/>
    <numFmt numFmtId="171" formatCode="0.0%;[Red]\-0.0%"/>
    <numFmt numFmtId="172" formatCode="#,##0;[Red]\-#,##0;&quot;-&quot;"/>
    <numFmt numFmtId="173" formatCode="#,##0.000"/>
    <numFmt numFmtId="174" formatCode="_(* #,##0_);_(* \(#,##0\);_(* &quot;-&quot;??_);_(@_)"/>
    <numFmt numFmtId="175" formatCode="#,##0.00;[Red]\-#,##0.00;&quot;-&quot;"/>
  </numFmts>
  <fonts count="21" x14ac:knownFonts="1">
    <font>
      <sz val="8"/>
      <name val="MS Sans Serif"/>
    </font>
    <font>
      <sz val="8"/>
      <name val="MS Sans Serif"/>
    </font>
    <font>
      <sz val="12"/>
      <name val="Arial"/>
      <family val="2"/>
    </font>
    <font>
      <b/>
      <sz val="12"/>
      <name val="Arial"/>
      <family val="2"/>
    </font>
    <font>
      <sz val="14"/>
      <name val="MS Sans Serif"/>
    </font>
    <font>
      <sz val="14"/>
      <name val="Calibri"/>
      <scheme val="minor"/>
    </font>
    <font>
      <b/>
      <sz val="14"/>
      <color rgb="FF0000FF"/>
      <name val="Calibri"/>
      <scheme val="minor"/>
    </font>
    <font>
      <b/>
      <sz val="20"/>
      <color rgb="FFFF0000"/>
      <name val="Cambria"/>
      <scheme val="major"/>
    </font>
    <font>
      <sz val="12"/>
      <name val="Calibri"/>
      <scheme val="minor"/>
    </font>
    <font>
      <b/>
      <sz val="16"/>
      <name val="Arial"/>
    </font>
    <font>
      <u/>
      <sz val="8"/>
      <color theme="10"/>
      <name val="MS Sans Serif"/>
    </font>
    <font>
      <u/>
      <sz val="8"/>
      <color theme="11"/>
      <name val="MS Sans Serif"/>
    </font>
    <font>
      <sz val="14"/>
      <name val="Arial"/>
    </font>
    <font>
      <b/>
      <sz val="18"/>
      <name val="Calibri"/>
      <scheme val="minor"/>
    </font>
    <font>
      <b/>
      <sz val="12"/>
      <color theme="0"/>
      <name val="Arial"/>
    </font>
    <font>
      <sz val="12"/>
      <color theme="0"/>
      <name val="Arial"/>
    </font>
    <font>
      <b/>
      <sz val="12"/>
      <name val="Calibri"/>
      <scheme val="minor"/>
    </font>
    <font>
      <b/>
      <sz val="14"/>
      <name val="Arial"/>
    </font>
    <font>
      <b/>
      <sz val="18"/>
      <name val="Arial"/>
    </font>
    <font>
      <b/>
      <sz val="16"/>
      <color rgb="FF0000FF"/>
      <name val="Arial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2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NumberFormat="1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3" fontId="2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3" fontId="2" fillId="2" borderId="0" xfId="0" applyNumberFormat="1" applyFont="1" applyFill="1"/>
    <xf numFmtId="0" fontId="2" fillId="0" borderId="2" xfId="0" applyFont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0" fontId="6" fillId="0" borderId="1" xfId="0" quotePrefix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7" fontId="5" fillId="0" borderId="0" xfId="0" applyNumberFormat="1" applyFont="1" applyAlignment="1">
      <alignment horizontal="center"/>
    </xf>
    <xf numFmtId="167" fontId="2" fillId="0" borderId="0" xfId="0" applyNumberFormat="1" applyFont="1"/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/>
    <xf numFmtId="0" fontId="3" fillId="3" borderId="0" xfId="0" applyFont="1" applyFill="1"/>
    <xf numFmtId="0" fontId="2" fillId="3" borderId="0" xfId="0" applyFont="1" applyFill="1"/>
    <xf numFmtId="0" fontId="2" fillId="3" borderId="3" xfId="0" applyFont="1" applyFill="1" applyBorder="1"/>
    <xf numFmtId="170" fontId="2" fillId="0" borderId="0" xfId="0" applyNumberFormat="1" applyFont="1"/>
    <xf numFmtId="170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0" borderId="5" xfId="0" applyFont="1" applyBorder="1"/>
    <xf numFmtId="164" fontId="5" fillId="2" borderId="6" xfId="0" applyNumberFormat="1" applyFont="1" applyFill="1" applyBorder="1" applyAlignment="1">
      <alignment horizontal="center"/>
    </xf>
    <xf numFmtId="168" fontId="5" fillId="2" borderId="5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64" fontId="5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10" xfId="0" applyFont="1" applyBorder="1"/>
    <xf numFmtId="169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5" fillId="0" borderId="9" xfId="0" applyFont="1" applyBorder="1"/>
    <xf numFmtId="9" fontId="5" fillId="2" borderId="10" xfId="0" applyNumberFormat="1" applyFont="1" applyFill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13" fillId="0" borderId="0" xfId="0" applyFont="1"/>
    <xf numFmtId="164" fontId="2" fillId="0" borderId="0" xfId="2" applyNumberFormat="1" applyFont="1"/>
    <xf numFmtId="4" fontId="2" fillId="0" borderId="0" xfId="0" applyNumberFormat="1" applyFont="1"/>
    <xf numFmtId="171" fontId="2" fillId="0" borderId="0" xfId="2" applyNumberFormat="1" applyFont="1"/>
    <xf numFmtId="165" fontId="2" fillId="0" borderId="0" xfId="1" applyNumberFormat="1" applyFont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3" fontId="14" fillId="0" borderId="1" xfId="0" applyNumberFormat="1" applyFont="1" applyBorder="1"/>
    <xf numFmtId="3" fontId="14" fillId="0" borderId="0" xfId="0" applyNumberFormat="1" applyFont="1"/>
    <xf numFmtId="3" fontId="14" fillId="0" borderId="2" xfId="0" applyNumberFormat="1" applyFont="1" applyBorder="1"/>
    <xf numFmtId="0" fontId="15" fillId="0" borderId="0" xfId="0" applyFont="1" applyAlignment="1">
      <alignment horizontal="center"/>
    </xf>
    <xf numFmtId="172" fontId="2" fillId="0" borderId="0" xfId="0" applyNumberFormat="1" applyFont="1"/>
    <xf numFmtId="3" fontId="2" fillId="0" borderId="0" xfId="1" applyNumberFormat="1" applyFont="1"/>
    <xf numFmtId="172" fontId="3" fillId="0" borderId="0" xfId="0" applyNumberFormat="1" applyFont="1"/>
    <xf numFmtId="165" fontId="14" fillId="0" borderId="0" xfId="0" applyNumberFormat="1" applyFont="1"/>
    <xf numFmtId="0" fontId="15" fillId="0" borderId="0" xfId="0" applyFont="1"/>
    <xf numFmtId="0" fontId="2" fillId="4" borderId="0" xfId="0" applyFont="1" applyFill="1"/>
    <xf numFmtId="0" fontId="2" fillId="0" borderId="3" xfId="0" applyFont="1" applyBorder="1"/>
    <xf numFmtId="0" fontId="3" fillId="4" borderId="0" xfId="0" applyFont="1" applyFill="1" applyAlignment="1">
      <alignment horizontal="center"/>
    </xf>
    <xf numFmtId="3" fontId="3" fillId="0" borderId="0" xfId="0" applyNumberFormat="1" applyFont="1"/>
    <xf numFmtId="0" fontId="3" fillId="0" borderId="2" xfId="0" applyFont="1" applyBorder="1"/>
    <xf numFmtId="3" fontId="3" fillId="0" borderId="2" xfId="0" applyNumberFormat="1" applyFont="1" applyBorder="1"/>
    <xf numFmtId="167" fontId="5" fillId="0" borderId="3" xfId="0" applyNumberFormat="1" applyFont="1" applyBorder="1" applyAlignment="1">
      <alignment horizontal="center"/>
    </xf>
    <xf numFmtId="2" fontId="2" fillId="0" borderId="0" xfId="0" applyNumberFormat="1" applyFont="1"/>
    <xf numFmtId="167" fontId="5" fillId="2" borderId="0" xfId="0" applyNumberFormat="1" applyFont="1" applyFill="1" applyAlignment="1">
      <alignment horizontal="center"/>
    </xf>
    <xf numFmtId="0" fontId="12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/>
    <xf numFmtId="173" fontId="2" fillId="0" borderId="0" xfId="0" applyNumberFormat="1" applyFont="1"/>
    <xf numFmtId="3" fontId="2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center"/>
    </xf>
    <xf numFmtId="170" fontId="2" fillId="0" borderId="0" xfId="0" applyNumberFormat="1" applyFont="1" applyAlignment="1">
      <alignment horizontal="center"/>
    </xf>
    <xf numFmtId="3" fontId="2" fillId="5" borderId="0" xfId="0" applyNumberFormat="1" applyFont="1" applyFill="1"/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center"/>
    </xf>
    <xf numFmtId="165" fontId="3" fillId="0" borderId="2" xfId="0" applyNumberFormat="1" applyFont="1" applyBorder="1"/>
    <xf numFmtId="0" fontId="8" fillId="0" borderId="0" xfId="0" applyFont="1"/>
    <xf numFmtId="166" fontId="8" fillId="0" borderId="0" xfId="0" applyNumberFormat="1" applyFont="1"/>
    <xf numFmtId="166" fontId="16" fillId="0" borderId="11" xfId="0" applyNumberFormat="1" applyFont="1" applyBorder="1"/>
    <xf numFmtId="0" fontId="3" fillId="0" borderId="1" xfId="0" applyFont="1" applyBorder="1" applyAlignment="1">
      <alignment horizontal="center"/>
    </xf>
    <xf numFmtId="5" fontId="2" fillId="0" borderId="0" xfId="0" applyNumberFormat="1" applyFont="1"/>
    <xf numFmtId="170" fontId="3" fillId="0" borderId="0" xfId="0" applyNumberFormat="1" applyFont="1"/>
    <xf numFmtId="0" fontId="8" fillId="0" borderId="0" xfId="0" applyFont="1" applyAlignment="1">
      <alignment horizontal="center"/>
    </xf>
    <xf numFmtId="5" fontId="2" fillId="5" borderId="0" xfId="0" applyNumberFormat="1" applyFont="1" applyFill="1" applyAlignment="1">
      <alignment horizontal="center"/>
    </xf>
    <xf numFmtId="0" fontId="2" fillId="5" borderId="16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174" fontId="2" fillId="5" borderId="16" xfId="486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left"/>
    </xf>
    <xf numFmtId="1" fontId="2" fillId="5" borderId="16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vertical="top" wrapText="1"/>
    </xf>
    <xf numFmtId="3" fontId="2" fillId="5" borderId="16" xfId="0" applyNumberFormat="1" applyFont="1" applyFill="1" applyBorder="1" applyAlignment="1">
      <alignment vertical="center"/>
    </xf>
    <xf numFmtId="37" fontId="2" fillId="5" borderId="16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top" wrapText="1"/>
    </xf>
    <xf numFmtId="0" fontId="2" fillId="5" borderId="16" xfId="289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right" wrapText="1"/>
    </xf>
    <xf numFmtId="0" fontId="2" fillId="5" borderId="1" xfId="0" applyFont="1" applyFill="1" applyBorder="1"/>
    <xf numFmtId="0" fontId="2" fillId="5" borderId="0" xfId="0" applyFont="1" applyFill="1"/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/>
    <xf numFmtId="0" fontId="3" fillId="5" borderId="0" xfId="0" applyFont="1" applyFill="1" applyAlignment="1">
      <alignment horizontal="right" wrapText="1"/>
    </xf>
    <xf numFmtId="3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/>
    <xf numFmtId="5" fontId="2" fillId="5" borderId="0" xfId="0" applyNumberFormat="1" applyFont="1" applyFill="1"/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 vertical="top" wrapText="1"/>
    </xf>
    <xf numFmtId="1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3" fillId="5" borderId="2" xfId="0" applyFont="1" applyFill="1" applyBorder="1"/>
    <xf numFmtId="3" fontId="3" fillId="5" borderId="2" xfId="0" applyNumberFormat="1" applyFont="1" applyFill="1" applyBorder="1"/>
    <xf numFmtId="172" fontId="2" fillId="5" borderId="0" xfId="0" applyNumberFormat="1" applyFont="1" applyFill="1"/>
    <xf numFmtId="172" fontId="3" fillId="5" borderId="0" xfId="0" applyNumberFormat="1" applyFont="1" applyFill="1"/>
    <xf numFmtId="165" fontId="2" fillId="5" borderId="0" xfId="0" applyNumberFormat="1" applyFont="1" applyFill="1"/>
    <xf numFmtId="0" fontId="3" fillId="5" borderId="0" xfId="0" quotePrefix="1" applyFont="1" applyFill="1"/>
    <xf numFmtId="4" fontId="2" fillId="5" borderId="0" xfId="0" applyNumberFormat="1" applyFont="1" applyFill="1"/>
    <xf numFmtId="0" fontId="3" fillId="6" borderId="1" xfId="0" applyFont="1" applyFill="1" applyBorder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right"/>
    </xf>
    <xf numFmtId="3" fontId="2" fillId="6" borderId="0" xfId="0" applyNumberFormat="1" applyFont="1" applyFill="1"/>
    <xf numFmtId="0" fontId="2" fillId="6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8" fillId="5" borderId="0" xfId="0" applyFont="1" applyFill="1"/>
    <xf numFmtId="0" fontId="2" fillId="0" borderId="16" xfId="0" applyFont="1" applyBorder="1" applyAlignment="1">
      <alignment horizontal="center" vertical="center"/>
    </xf>
    <xf numFmtId="174" fontId="2" fillId="0" borderId="16" xfId="486" applyNumberFormat="1" applyFont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vertical="center"/>
    </xf>
    <xf numFmtId="174" fontId="3" fillId="5" borderId="16" xfId="486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174" fontId="2" fillId="5" borderId="0" xfId="486" applyNumberFormat="1" applyFont="1" applyFill="1" applyAlignment="1">
      <alignment vertical="center"/>
    </xf>
    <xf numFmtId="174" fontId="2" fillId="7" borderId="16" xfId="486" applyNumberFormat="1" applyFont="1" applyFill="1" applyBorder="1" applyAlignment="1">
      <alignment vertical="center"/>
    </xf>
    <xf numFmtId="0" fontId="2" fillId="7" borderId="0" xfId="0" applyFont="1" applyFill="1"/>
    <xf numFmtId="3" fontId="2" fillId="7" borderId="0" xfId="0" applyNumberFormat="1" applyFont="1" applyFill="1"/>
    <xf numFmtId="0" fontId="2" fillId="7" borderId="0" xfId="0" applyFont="1" applyFill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174" fontId="2" fillId="8" borderId="16" xfId="486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174" fontId="2" fillId="0" borderId="16" xfId="486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/>
    <xf numFmtId="5" fontId="2" fillId="0" borderId="0" xfId="0" applyNumberFormat="1" applyFont="1" applyFill="1"/>
    <xf numFmtId="0" fontId="2" fillId="0" borderId="16" xfId="0" applyFont="1" applyFill="1" applyBorder="1" applyAlignment="1">
      <alignment vertical="top" wrapText="1"/>
    </xf>
    <xf numFmtId="0" fontId="2" fillId="7" borderId="1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wrapText="1"/>
    </xf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wrapText="1"/>
    </xf>
    <xf numFmtId="0" fontId="0" fillId="0" borderId="0" xfId="0" applyFill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3" fontId="3" fillId="0" borderId="15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2" fillId="9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wrapText="1"/>
    </xf>
    <xf numFmtId="0" fontId="3" fillId="9" borderId="0" xfId="0" applyFont="1" applyFill="1" applyAlignment="1">
      <alignment horizontal="center" wrapText="1"/>
    </xf>
    <xf numFmtId="3" fontId="2" fillId="9" borderId="0" xfId="0" applyNumberFormat="1" applyFont="1" applyFill="1" applyAlignment="1">
      <alignment horizontal="right"/>
    </xf>
    <xf numFmtId="3" fontId="2" fillId="9" borderId="0" xfId="0" applyNumberFormat="1" applyFont="1" applyFill="1" applyAlignment="1">
      <alignment vertical="top" wrapText="1"/>
    </xf>
    <xf numFmtId="3" fontId="2" fillId="9" borderId="0" xfId="0" applyNumberFormat="1" applyFont="1" applyFill="1" applyAlignment="1">
      <alignment wrapText="1"/>
    </xf>
    <xf numFmtId="3" fontId="2" fillId="9" borderId="0" xfId="0" applyNumberFormat="1" applyFont="1" applyFill="1"/>
    <xf numFmtId="0" fontId="2" fillId="9" borderId="0" xfId="0" applyFont="1" applyFill="1" applyAlignment="1">
      <alignment horizontal="center" vertical="top"/>
    </xf>
    <xf numFmtId="0" fontId="2" fillId="9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2" applyNumberFormat="1" applyFont="1"/>
    <xf numFmtId="165" fontId="2" fillId="0" borderId="0" xfId="1" applyNumberFormat="1" applyFont="1"/>
    <xf numFmtId="172" fontId="2" fillId="0" borderId="0" xfId="0" applyNumberFormat="1" applyFont="1"/>
    <xf numFmtId="172" fontId="3" fillId="0" borderId="0" xfId="0" applyNumberFormat="1" applyFont="1"/>
    <xf numFmtId="165" fontId="3" fillId="0" borderId="2" xfId="0" applyNumberFormat="1" applyFont="1" applyBorder="1"/>
    <xf numFmtId="166" fontId="8" fillId="0" borderId="0" xfId="0" applyNumberFormat="1" applyFont="1"/>
    <xf numFmtId="166" fontId="16" fillId="0" borderId="11" xfId="0" applyNumberFormat="1" applyFont="1" applyBorder="1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Alignment="1">
      <alignment horizontal="left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3" fillId="5" borderId="15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center" textRotation="90"/>
    </xf>
    <xf numFmtId="0" fontId="2" fillId="5" borderId="13" xfId="0" applyFont="1" applyFill="1" applyBorder="1" applyAlignment="1">
      <alignment horizontal="center" textRotation="90"/>
    </xf>
    <xf numFmtId="0" fontId="2" fillId="5" borderId="1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5" borderId="7" xfId="0" applyFont="1" applyFill="1" applyBorder="1" applyAlignment="1">
      <alignment horizontal="center" textRotation="90"/>
    </xf>
    <xf numFmtId="0" fontId="2" fillId="5" borderId="0" xfId="0" applyFont="1" applyFill="1" applyAlignment="1">
      <alignment horizontal="center" textRotation="90"/>
    </xf>
    <xf numFmtId="0" fontId="2" fillId="5" borderId="8" xfId="0" applyFont="1" applyFill="1" applyBorder="1" applyAlignment="1">
      <alignment horizontal="center" textRotation="90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9" fontId="5" fillId="2" borderId="0" xfId="0" applyNumberFormat="1" applyFont="1" applyFill="1" applyBorder="1" applyAlignment="1">
      <alignment horizontal="center"/>
    </xf>
    <xf numFmtId="172" fontId="5" fillId="0" borderId="0" xfId="0" applyNumberFormat="1" applyFont="1"/>
    <xf numFmtId="3" fontId="5" fillId="10" borderId="0" xfId="0" applyNumberFormat="1" applyFont="1" applyFill="1" applyAlignment="1">
      <alignment horizontal="right"/>
    </xf>
    <xf numFmtId="10" fontId="5" fillId="0" borderId="0" xfId="2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8" xfId="0" applyFont="1" applyBorder="1"/>
    <xf numFmtId="0" fontId="4" fillId="0" borderId="18" xfId="0" applyFont="1" applyBorder="1"/>
    <xf numFmtId="9" fontId="2" fillId="10" borderId="0" xfId="0" applyNumberFormat="1" applyFont="1" applyFill="1" applyAlignment="1">
      <alignment horizontal="center"/>
    </xf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/>
    <xf numFmtId="0" fontId="4" fillId="0" borderId="20" xfId="0" applyFont="1" applyBorder="1"/>
    <xf numFmtId="0" fontId="2" fillId="10" borderId="0" xfId="0" applyFont="1" applyFill="1" applyAlignment="1">
      <alignment horizontal="center"/>
    </xf>
    <xf numFmtId="175" fontId="5" fillId="0" borderId="0" xfId="0" applyNumberFormat="1" applyFont="1"/>
    <xf numFmtId="0" fontId="5" fillId="0" borderId="0" xfId="0" quotePrefix="1" applyFont="1"/>
    <xf numFmtId="175" fontId="5" fillId="0" borderId="0" xfId="0" applyNumberFormat="1" applyFont="1" applyBorder="1"/>
    <xf numFmtId="0" fontId="5" fillId="0" borderId="8" xfId="0" quotePrefix="1" applyFont="1" applyBorder="1"/>
    <xf numFmtId="175" fontId="5" fillId="0" borderId="21" xfId="0" applyNumberFormat="1" applyFont="1" applyBorder="1"/>
    <xf numFmtId="175" fontId="5" fillId="0" borderId="0" xfId="0" applyNumberFormat="1" applyFont="1" applyAlignment="1">
      <alignment horizontal="right"/>
    </xf>
    <xf numFmtId="0" fontId="2" fillId="0" borderId="4" xfId="0" applyFont="1" applyFill="1" applyBorder="1" applyAlignment="1">
      <alignment horizontal="right"/>
    </xf>
    <xf numFmtId="0" fontId="5" fillId="0" borderId="10" xfId="0" quotePrefix="1" applyFont="1" applyBorder="1"/>
    <xf numFmtId="0" fontId="2" fillId="5" borderId="0" xfId="0" quotePrefix="1" applyFont="1" applyFill="1" applyAlignment="1">
      <alignment horizontal="center"/>
    </xf>
    <xf numFmtId="172" fontId="3" fillId="5" borderId="0" xfId="0" applyNumberFormat="1" applyFont="1" applyFill="1" applyBorder="1"/>
    <xf numFmtId="166" fontId="2" fillId="5" borderId="0" xfId="1" applyNumberFormat="1" applyFont="1" applyFill="1"/>
    <xf numFmtId="175" fontId="3" fillId="5" borderId="0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9" xfId="0" applyFont="1" applyBorder="1"/>
    <xf numFmtId="0" fontId="5" fillId="0" borderId="4" xfId="0" applyFont="1" applyBorder="1" applyAlignment="1">
      <alignment horizontal="center"/>
    </xf>
    <xf numFmtId="0" fontId="4" fillId="0" borderId="10" xfId="0" applyFont="1" applyBorder="1"/>
    <xf numFmtId="0" fontId="5" fillId="2" borderId="0" xfId="0" applyFont="1" applyFill="1"/>
    <xf numFmtId="172" fontId="2" fillId="5" borderId="0" xfId="0" applyNumberFormat="1" applyFont="1" applyFill="1" applyAlignment="1">
      <alignment horizontal="right"/>
    </xf>
    <xf numFmtId="172" fontId="2" fillId="5" borderId="0" xfId="0" applyNumberFormat="1" applyFont="1" applyFill="1" applyAlignment="1">
      <alignment horizontal="center"/>
    </xf>
    <xf numFmtId="172" fontId="2" fillId="5" borderId="0" xfId="1" applyNumberFormat="1" applyFont="1" applyFill="1"/>
    <xf numFmtId="9" fontId="2" fillId="0" borderId="0" xfId="2" applyNumberFormat="1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5" fillId="0" borderId="21" xfId="0" applyNumberFormat="1" applyFont="1" applyBorder="1"/>
  </cellXfs>
  <cellStyles count="525">
    <cellStyle name="Comma" xfId="486" builtinId="3"/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Normal" xfId="0" builtinId="0"/>
    <cellStyle name="Normal 2" xfId="289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</a:t>
            </a:r>
            <a:r>
              <a:rPr lang="en-US" baseline="0"/>
              <a:t> G M D  30-Year Capital Reserve Costs and Deposits </a:t>
            </a:r>
            <a:endParaRPr lang="en-US"/>
          </a:p>
        </c:rich>
      </c:tx>
      <c:layout>
        <c:manualLayout>
          <c:xMode val="edge"/>
          <c:yMode val="edge"/>
          <c:x val="0.389303038927363"/>
          <c:y val="0.0149812734082397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Expenses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Data'!$D$7:$AH$7</c:f>
              <c:numCache>
                <c:formatCode>#,##0</c:formatCode>
                <c:ptCount val="31"/>
                <c:pt idx="0">
                  <c:v>304394.0</c:v>
                </c:pt>
                <c:pt idx="1">
                  <c:v>145845.0</c:v>
                </c:pt>
                <c:pt idx="2">
                  <c:v>631634.0</c:v>
                </c:pt>
                <c:pt idx="3">
                  <c:v>302593.0</c:v>
                </c:pt>
                <c:pt idx="4">
                  <c:v>475953.0</c:v>
                </c:pt>
                <c:pt idx="5">
                  <c:v>30217.0</c:v>
                </c:pt>
                <c:pt idx="6">
                  <c:v>124936.0</c:v>
                </c:pt>
                <c:pt idx="7">
                  <c:v>1.623354E6</c:v>
                </c:pt>
                <c:pt idx="8">
                  <c:v>350396.0</c:v>
                </c:pt>
                <c:pt idx="9">
                  <c:v>147977.0</c:v>
                </c:pt>
                <c:pt idx="10">
                  <c:v>344573.0</c:v>
                </c:pt>
                <c:pt idx="11">
                  <c:v>443060.0</c:v>
                </c:pt>
                <c:pt idx="12">
                  <c:v>1.143854E6</c:v>
                </c:pt>
                <c:pt idx="13">
                  <c:v>242021.0</c:v>
                </c:pt>
                <c:pt idx="14">
                  <c:v>232216.0</c:v>
                </c:pt>
                <c:pt idx="15">
                  <c:v>464389.0</c:v>
                </c:pt>
                <c:pt idx="16">
                  <c:v>1.382333E6</c:v>
                </c:pt>
                <c:pt idx="17">
                  <c:v>1.136434E6</c:v>
                </c:pt>
                <c:pt idx="18">
                  <c:v>636714.0</c:v>
                </c:pt>
                <c:pt idx="19">
                  <c:v>827311.0</c:v>
                </c:pt>
                <c:pt idx="20">
                  <c:v>544151.0</c:v>
                </c:pt>
                <c:pt idx="21">
                  <c:v>214636.0</c:v>
                </c:pt>
                <c:pt idx="22">
                  <c:v>68254.0</c:v>
                </c:pt>
                <c:pt idx="23">
                  <c:v>650782.0</c:v>
                </c:pt>
                <c:pt idx="24">
                  <c:v>944575.0</c:v>
                </c:pt>
                <c:pt idx="25">
                  <c:v>371409.0</c:v>
                </c:pt>
                <c:pt idx="26">
                  <c:v>446228.0</c:v>
                </c:pt>
                <c:pt idx="27">
                  <c:v>308540.0</c:v>
                </c:pt>
                <c:pt idx="28">
                  <c:v>1.136901E6</c:v>
                </c:pt>
                <c:pt idx="29">
                  <c:v>296834.0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21-4A79-AA6E-CFF2C96DBC89}"/>
            </c:ext>
          </c:extLst>
        </c:ser>
        <c:ser>
          <c:idx val="1"/>
          <c:order val="1"/>
          <c:tx>
            <c:v>Deposits: FF Formula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Data'!$D$21:$AH$21</c:f>
              <c:numCache>
                <c:formatCode>#,##0</c:formatCode>
                <c:ptCount val="31"/>
                <c:pt idx="0">
                  <c:v>465129.0855620165</c:v>
                </c:pt>
                <c:pt idx="1">
                  <c:v>470712.8660716044</c:v>
                </c:pt>
                <c:pt idx="2">
                  <c:v>496463.9633477822</c:v>
                </c:pt>
                <c:pt idx="3">
                  <c:v>509025.4987863497</c:v>
                </c:pt>
                <c:pt idx="4">
                  <c:v>529140.4223416706</c:v>
                </c:pt>
                <c:pt idx="5">
                  <c:v>530865.4021152303</c:v>
                </c:pt>
                <c:pt idx="6">
                  <c:v>535490.8339577544</c:v>
                </c:pt>
                <c:pt idx="7">
                  <c:v>600358.218707066</c:v>
                </c:pt>
                <c:pt idx="8">
                  <c:v>613447.1953113322</c:v>
                </c:pt>
                <c:pt idx="9">
                  <c:v>618911.2395761283</c:v>
                </c:pt>
                <c:pt idx="10">
                  <c:v>632077.5488773685</c:v>
                </c:pt>
                <c:pt idx="11">
                  <c:v>649364.926598853</c:v>
                </c:pt>
                <c:pt idx="12">
                  <c:v>693751.0202201047</c:v>
                </c:pt>
                <c:pt idx="13">
                  <c:v>704343.69928132</c:v>
                </c:pt>
                <c:pt idx="14">
                  <c:v>713078.1720311909</c:v>
                </c:pt>
                <c:pt idx="15">
                  <c:v>735771.1013122804</c:v>
                </c:pt>
                <c:pt idx="16">
                  <c:v>792533.7870869131</c:v>
                </c:pt>
                <c:pt idx="17">
                  <c:v>841240.6028072456</c:v>
                </c:pt>
                <c:pt idx="18">
                  <c:v>868003.8698806613</c:v>
                </c:pt>
                <c:pt idx="19">
                  <c:v>903067.0781145944</c:v>
                </c:pt>
                <c:pt idx="20">
                  <c:v>924726.2516855407</c:v>
                </c:pt>
                <c:pt idx="21">
                  <c:v>934972.5575842972</c:v>
                </c:pt>
                <c:pt idx="22">
                  <c:v>1.07221526818509E6</c:v>
                </c:pt>
                <c:pt idx="23">
                  <c:v>1.09841618511367E6</c:v>
                </c:pt>
                <c:pt idx="24">
                  <c:v>1.13821180449532E6</c:v>
                </c:pt>
                <c:pt idx="25">
                  <c:v>1.15239434107701E6</c:v>
                </c:pt>
                <c:pt idx="26">
                  <c:v>1.17001622587255E6</c:v>
                </c:pt>
                <c:pt idx="27">
                  <c:v>1.18306960255582E6</c:v>
                </c:pt>
                <c:pt idx="28">
                  <c:v>1.22559112318812E6</c:v>
                </c:pt>
                <c:pt idx="29">
                  <c:v>1.23852310178798E6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21-4A79-AA6E-CFF2C96DBC89}"/>
            </c:ext>
          </c:extLst>
        </c:ser>
        <c:ser>
          <c:idx val="0"/>
          <c:order val="2"/>
          <c:tx>
            <c:v>Deposits: HGMD Fee</c:v>
          </c:tx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Data'!$D$8:$AG$8</c:f>
              <c:numCache>
                <c:formatCode>#,##0</c:formatCode>
                <c:ptCount val="30"/>
                <c:pt idx="0">
                  <c:v>370850.13</c:v>
                </c:pt>
                <c:pt idx="1">
                  <c:v>383829.88455</c:v>
                </c:pt>
                <c:pt idx="2">
                  <c:v>397263.93050925</c:v>
                </c:pt>
                <c:pt idx="3">
                  <c:v>411168.1680770736</c:v>
                </c:pt>
                <c:pt idx="4">
                  <c:v>425559.0539597712</c:v>
                </c:pt>
                <c:pt idx="5">
                  <c:v>440453.6208483631</c:v>
                </c:pt>
                <c:pt idx="6">
                  <c:v>455869.4975780558</c:v>
                </c:pt>
                <c:pt idx="7">
                  <c:v>471824.9299932878</c:v>
                </c:pt>
                <c:pt idx="8">
                  <c:v>488338.8025430528</c:v>
                </c:pt>
                <c:pt idx="9">
                  <c:v>505430.6606320596</c:v>
                </c:pt>
                <c:pt idx="10">
                  <c:v>523120.7337541817</c:v>
                </c:pt>
                <c:pt idx="11">
                  <c:v>541429.959435578</c:v>
                </c:pt>
                <c:pt idx="12">
                  <c:v>560380.0080158232</c:v>
                </c:pt>
                <c:pt idx="13">
                  <c:v>579993.308296377</c:v>
                </c:pt>
                <c:pt idx="14">
                  <c:v>600293.0740867502</c:v>
                </c:pt>
                <c:pt idx="15">
                  <c:v>621303.3316797863</c:v>
                </c:pt>
                <c:pt idx="16">
                  <c:v>643048.9482885787</c:v>
                </c:pt>
                <c:pt idx="17">
                  <c:v>665555.661478679</c:v>
                </c:pt>
                <c:pt idx="18">
                  <c:v>688850.1096304327</c:v>
                </c:pt>
                <c:pt idx="19">
                  <c:v>712959.8634674977</c:v>
                </c:pt>
                <c:pt idx="20">
                  <c:v>737913.45868886</c:v>
                </c:pt>
                <c:pt idx="21">
                  <c:v>763740.4297429702</c:v>
                </c:pt>
                <c:pt idx="22">
                  <c:v>790471.344783974</c:v>
                </c:pt>
                <c:pt idx="23">
                  <c:v>818137.841851413</c:v>
                </c:pt>
                <c:pt idx="24">
                  <c:v>846772.6663162123</c:v>
                </c:pt>
                <c:pt idx="25">
                  <c:v>876409.7096372797</c:v>
                </c:pt>
                <c:pt idx="26">
                  <c:v>907084.0494745844</c:v>
                </c:pt>
                <c:pt idx="27">
                  <c:v>938831.9912061947</c:v>
                </c:pt>
                <c:pt idx="28">
                  <c:v>971691.1108984115</c:v>
                </c:pt>
                <c:pt idx="29">
                  <c:v>1.00570029977986E6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21-4A79-AA6E-CFF2C96D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8369528"/>
        <c:axId val="-2098914552"/>
      </c:lineChart>
      <c:catAx>
        <c:axId val="-209836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 i="0"/>
            </a:pPr>
            <a:endParaRPr lang="en-US"/>
          </a:p>
        </c:txPr>
        <c:crossAx val="-2098914552"/>
        <c:crosses val="autoZero"/>
        <c:auto val="1"/>
        <c:lblAlgn val="ctr"/>
        <c:lblOffset val="100"/>
        <c:noMultiLvlLbl val="0"/>
      </c:catAx>
      <c:valAx>
        <c:axId val="-20989145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/>
            </a:pPr>
            <a:endParaRPr lang="en-US"/>
          </a:p>
        </c:txPr>
        <c:crossAx val="-20983695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 i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</a:t>
            </a:r>
            <a:r>
              <a:rPr lang="en-US" baseline="0"/>
              <a:t> G M D  30-Year Capital Reserve Balances </a:t>
            </a:r>
            <a:endParaRPr lang="en-US"/>
          </a:p>
        </c:rich>
      </c:tx>
      <c:layout>
        <c:manualLayout>
          <c:xMode val="edge"/>
          <c:yMode val="edge"/>
          <c:x val="0.389303038927363"/>
          <c:y val="0.0149812734082397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FF Balance at 60%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Data'!$D$19:$AH$19</c:f>
              <c:numCache>
                <c:formatCode>#,##0</c:formatCode>
                <c:ptCount val="31"/>
                <c:pt idx="0">
                  <c:v>2.72411407612968E6</c:v>
                </c:pt>
                <c:pt idx="1">
                  <c:v>2.97440367178036E6</c:v>
                </c:pt>
                <c:pt idx="2">
                  <c:v>2.94780580832633E6</c:v>
                </c:pt>
                <c:pt idx="3">
                  <c:v>3.12975665819711E6</c:v>
                </c:pt>
                <c:pt idx="4">
                  <c:v>3.22140521745639E6</c:v>
                </c:pt>
                <c:pt idx="5">
                  <c:v>3.57852021403412E6</c:v>
                </c:pt>
                <c:pt idx="6">
                  <c:v>3.89842792920255E6</c:v>
                </c:pt>
                <c:pt idx="7">
                  <c:v>3.34605218989411E6</c:v>
                </c:pt>
                <c:pt idx="8">
                  <c:v>3.56973514581213E6</c:v>
                </c:pt>
                <c:pt idx="9">
                  <c:v>3.92540446296861E6</c:v>
                </c:pt>
                <c:pt idx="10">
                  <c:v>4.17599921831422E6</c:v>
                </c:pt>
                <c:pt idx="11">
                  <c:v>4.38189574264229E6</c:v>
                </c:pt>
                <c:pt idx="12">
                  <c:v>4.18944155881878E6</c:v>
                </c:pt>
                <c:pt idx="13">
                  <c:v>4.52895706702883E6</c:v>
                </c:pt>
                <c:pt idx="14">
                  <c:v>4.90966617562619E6</c:v>
                </c:pt>
                <c:pt idx="15">
                  <c:v>5.13788794616464E6</c:v>
                </c:pt>
                <c:pt idx="16">
                  <c:v>4.86349267710042E6</c:v>
                </c:pt>
                <c:pt idx="17">
                  <c:v>4.77419111959218E6</c:v>
                </c:pt>
                <c:pt idx="18">
                  <c:v>5.00520065744517E6</c:v>
                </c:pt>
                <c:pt idx="19">
                  <c:v>5.14535002474269E6</c:v>
                </c:pt>
                <c:pt idx="20">
                  <c:v>5.47489128569942E6</c:v>
                </c:pt>
                <c:pt idx="21">
                  <c:v>6.00108100447601E6</c:v>
                </c:pt>
                <c:pt idx="22">
                  <c:v>4.63572490704568E6</c:v>
                </c:pt>
                <c:pt idx="23">
                  <c:v>4.99346685804549E6</c:v>
                </c:pt>
                <c:pt idx="24">
                  <c:v>5.19114568560587E6</c:v>
                </c:pt>
                <c:pt idx="25">
                  <c:v>5.76407128439871E6</c:v>
                </c:pt>
                <c:pt idx="26">
                  <c:v>6.31376735826661E6</c:v>
                </c:pt>
                <c:pt idx="27">
                  <c:v>6.96718674020238E6</c:v>
                </c:pt>
                <c:pt idx="28">
                  <c:v>7.15238704746513E6</c:v>
                </c:pt>
                <c:pt idx="29">
                  <c:v>7.83980079212179E6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F3-4849-9F4D-DF7CD3548068}"/>
            </c:ext>
          </c:extLst>
        </c:ser>
        <c:ser>
          <c:idx val="2"/>
          <c:order val="1"/>
          <c:tx>
            <c:v>Full Funding Balance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Data'!$D$18:$AH$18</c:f>
              <c:numCache>
                <c:formatCode>#,##0</c:formatCode>
                <c:ptCount val="31"/>
                <c:pt idx="0">
                  <c:v>4.54019012688279E6</c:v>
                </c:pt>
                <c:pt idx="1">
                  <c:v>4.95733945296726E6</c:v>
                </c:pt>
                <c:pt idx="2">
                  <c:v>4.91300968054388E6</c:v>
                </c:pt>
                <c:pt idx="3">
                  <c:v>5.21626109699518E6</c:v>
                </c:pt>
                <c:pt idx="4">
                  <c:v>5.36900869576066E6</c:v>
                </c:pt>
                <c:pt idx="5">
                  <c:v>5.96420035672353E6</c:v>
                </c:pt>
                <c:pt idx="6">
                  <c:v>6.49737988200425E6</c:v>
                </c:pt>
                <c:pt idx="7">
                  <c:v>5.57675364982352E6</c:v>
                </c:pt>
                <c:pt idx="8">
                  <c:v>5.94955857635355E6</c:v>
                </c:pt>
                <c:pt idx="9">
                  <c:v>6.54234077161434E6</c:v>
                </c:pt>
                <c:pt idx="10">
                  <c:v>6.95999869719037E6</c:v>
                </c:pt>
                <c:pt idx="11">
                  <c:v>7.30315957107048E6</c:v>
                </c:pt>
                <c:pt idx="12">
                  <c:v>6.9824025980313E6</c:v>
                </c:pt>
                <c:pt idx="13">
                  <c:v>7.54826177838139E6</c:v>
                </c:pt>
                <c:pt idx="14">
                  <c:v>8.18277695937699E6</c:v>
                </c:pt>
                <c:pt idx="15">
                  <c:v>8.56314657694107E6</c:v>
                </c:pt>
                <c:pt idx="16">
                  <c:v>8.1058211285007E6</c:v>
                </c:pt>
                <c:pt idx="17">
                  <c:v>7.9569851993203E6</c:v>
                </c:pt>
                <c:pt idx="18">
                  <c:v>8.34200109574196E6</c:v>
                </c:pt>
                <c:pt idx="19">
                  <c:v>8.57558337457115E6</c:v>
                </c:pt>
                <c:pt idx="20">
                  <c:v>9.12481880949903E6</c:v>
                </c:pt>
                <c:pt idx="21">
                  <c:v>1.00018016741267E7</c:v>
                </c:pt>
                <c:pt idx="22">
                  <c:v>7.72620817840947E6</c:v>
                </c:pt>
                <c:pt idx="23">
                  <c:v>8.32244476340914E6</c:v>
                </c:pt>
                <c:pt idx="24">
                  <c:v>8.65190947600979E6</c:v>
                </c:pt>
                <c:pt idx="25">
                  <c:v>9.60678547399785E6</c:v>
                </c:pt>
                <c:pt idx="26">
                  <c:v>1.0522945597111E7</c:v>
                </c:pt>
                <c:pt idx="27">
                  <c:v>1.16119779003373E7</c:v>
                </c:pt>
                <c:pt idx="28">
                  <c:v>1.19206450791085E7</c:v>
                </c:pt>
                <c:pt idx="29">
                  <c:v>1.30663346535363E7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F3-4849-9F4D-DF7CD3548068}"/>
            </c:ext>
          </c:extLst>
        </c:ser>
        <c:ser>
          <c:idx val="3"/>
          <c:order val="2"/>
          <c:tx>
            <c:v>HGMD Forecast</c:v>
          </c:tx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Data'!$D$13:$AG$13</c:f>
              <c:numCache>
                <c:formatCode>"$"#,##0;[Red]\-"$"#,##0</c:formatCode>
                <c:ptCount val="30"/>
                <c:pt idx="0">
                  <c:v>92683.73000000001</c:v>
                </c:pt>
                <c:pt idx="1">
                  <c:v>332058.8705</c:v>
                </c:pt>
                <c:pt idx="2">
                  <c:v>102669.6840667499</c:v>
                </c:pt>
                <c:pt idx="3">
                  <c:v>212784.8974048248</c:v>
                </c:pt>
                <c:pt idx="4">
                  <c:v>167424.7781971213</c:v>
                </c:pt>
                <c:pt idx="5">
                  <c:v>580172.7707184413</c:v>
                </c:pt>
                <c:pt idx="6">
                  <c:v>919808.8598572737</c:v>
                </c:pt>
                <c:pt idx="7">
                  <c:v>-213586.7137931494</c:v>
                </c:pt>
                <c:pt idx="8">
                  <c:v>-75643.91125009651</c:v>
                </c:pt>
                <c:pt idx="9">
                  <c:v>281809.749381963</c:v>
                </c:pt>
                <c:pt idx="10">
                  <c:v>464584.6293768741</c:v>
                </c:pt>
                <c:pt idx="11">
                  <c:v>569923.3582531053</c:v>
                </c:pt>
                <c:pt idx="12">
                  <c:v>-2725.97291649075</c:v>
                </c:pt>
                <c:pt idx="13">
                  <c:v>335246.3353798862</c:v>
                </c:pt>
                <c:pt idx="14">
                  <c:v>708352.1044973347</c:v>
                </c:pt>
                <c:pt idx="15">
                  <c:v>875891.7177445811</c:v>
                </c:pt>
                <c:pt idx="16">
                  <c:v>149746.0417993286</c:v>
                </c:pt>
                <c:pt idx="17">
                  <c:v>-318886.1060950026</c:v>
                </c:pt>
                <c:pt idx="18">
                  <c:v>-266749.99646457</c:v>
                </c:pt>
                <c:pt idx="19">
                  <c:v>-381101.1329970723</c:v>
                </c:pt>
                <c:pt idx="20">
                  <c:v>-187338.6743082122</c:v>
                </c:pt>
                <c:pt idx="21">
                  <c:v>361765.7554347579</c:v>
                </c:pt>
                <c:pt idx="22">
                  <c:v>1.08940958655025E6</c:v>
                </c:pt>
                <c:pt idx="23">
                  <c:v>1.27310657219992E6</c:v>
                </c:pt>
                <c:pt idx="24">
                  <c:v>1.20227676089333E6</c:v>
                </c:pt>
                <c:pt idx="25">
                  <c:v>1.73117390431384E6</c:v>
                </c:pt>
                <c:pt idx="26">
                  <c:v>2.23194956530058E6</c:v>
                </c:pt>
                <c:pt idx="27">
                  <c:v>2.90151337870459E6</c:v>
                </c:pt>
                <c:pt idx="28">
                  <c:v>2.80684507644932E6</c:v>
                </c:pt>
                <c:pt idx="29">
                  <c:v>3.58868934821686E6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F3-4849-9F4D-DF7CD3548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8492520"/>
        <c:axId val="-2098396920"/>
      </c:lineChart>
      <c:catAx>
        <c:axId val="-209849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 i="0"/>
            </a:pPr>
            <a:endParaRPr lang="en-US"/>
          </a:p>
        </c:txPr>
        <c:crossAx val="-2098396920"/>
        <c:crosses val="autoZero"/>
        <c:auto val="1"/>
        <c:lblAlgn val="ctr"/>
        <c:lblOffset val="100"/>
        <c:noMultiLvlLbl val="0"/>
      </c:catAx>
      <c:valAx>
        <c:axId val="-2098396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/>
            </a:pPr>
            <a:endParaRPr lang="en-US"/>
          </a:p>
        </c:txPr>
        <c:crossAx val="-20984925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 i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baseline="0"/>
              <a:t>"Pay as You Go" Cost vs. Full Funding Deposit</a:t>
            </a:r>
          </a:p>
          <a:p>
            <a:pPr algn="ctr">
              <a:defRPr/>
            </a:pPr>
            <a:r>
              <a:rPr lang="en-US" baseline="0"/>
              <a:t>Average Capital Reserve Monthly Fee</a:t>
            </a:r>
            <a:endParaRPr lang="en-US"/>
          </a:p>
        </c:rich>
      </c:tx>
      <c:layout>
        <c:manualLayout>
          <c:xMode val="edge"/>
          <c:yMode val="edge"/>
          <c:x val="0.373820331884744"/>
          <c:y val="0.012728949421862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81899803508168"/>
          <c:y val="0.145495495495495"/>
          <c:w val="0.927238070651005"/>
          <c:h val="0.72647495921118"/>
        </c:manualLayout>
      </c:layout>
      <c:lineChart>
        <c:grouping val="standard"/>
        <c:varyColors val="0"/>
        <c:ser>
          <c:idx val="0"/>
          <c:order val="0"/>
          <c:tx>
            <c:v>Pay as You Go Monthly Fee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'Graph Data'!$H$25:$AL$25</c:f>
              <c:numCache>
                <c:formatCode>General</c:formatCode>
                <c:ptCount val="31"/>
                <c:pt idx="0">
                  <c:v>2019.0</c:v>
                </c:pt>
                <c:pt idx="1">
                  <c:v>2020.0</c:v>
                </c:pt>
                <c:pt idx="2">
                  <c:v>2021.0</c:v>
                </c:pt>
                <c:pt idx="3">
                  <c:v>2022.0</c:v>
                </c:pt>
                <c:pt idx="4">
                  <c:v>2023.0</c:v>
                </c:pt>
                <c:pt idx="5">
                  <c:v>2024.0</c:v>
                </c:pt>
                <c:pt idx="6">
                  <c:v>2025.0</c:v>
                </c:pt>
                <c:pt idx="7">
                  <c:v>2026.0</c:v>
                </c:pt>
                <c:pt idx="8">
                  <c:v>2027.0</c:v>
                </c:pt>
                <c:pt idx="9">
                  <c:v>2028.0</c:v>
                </c:pt>
                <c:pt idx="10">
                  <c:v>2029.0</c:v>
                </c:pt>
                <c:pt idx="11">
                  <c:v>2030.0</c:v>
                </c:pt>
                <c:pt idx="12">
                  <c:v>2031.0</c:v>
                </c:pt>
                <c:pt idx="13">
                  <c:v>2032.0</c:v>
                </c:pt>
                <c:pt idx="14">
                  <c:v>2033.0</c:v>
                </c:pt>
                <c:pt idx="15">
                  <c:v>2034.0</c:v>
                </c:pt>
                <c:pt idx="16">
                  <c:v>2035.0</c:v>
                </c:pt>
                <c:pt idx="17">
                  <c:v>2036.0</c:v>
                </c:pt>
                <c:pt idx="18">
                  <c:v>2037.0</c:v>
                </c:pt>
                <c:pt idx="19">
                  <c:v>2038.0</c:v>
                </c:pt>
                <c:pt idx="20">
                  <c:v>2039.0</c:v>
                </c:pt>
                <c:pt idx="21">
                  <c:v>2040.0</c:v>
                </c:pt>
                <c:pt idx="22">
                  <c:v>2041.0</c:v>
                </c:pt>
                <c:pt idx="23">
                  <c:v>2042.0</c:v>
                </c:pt>
                <c:pt idx="24">
                  <c:v>2043.0</c:v>
                </c:pt>
                <c:pt idx="25">
                  <c:v>2044.0</c:v>
                </c:pt>
                <c:pt idx="26">
                  <c:v>2045.0</c:v>
                </c:pt>
                <c:pt idx="27">
                  <c:v>2046.0</c:v>
                </c:pt>
                <c:pt idx="28">
                  <c:v>2047.0</c:v>
                </c:pt>
                <c:pt idx="29">
                  <c:v>2048.0</c:v>
                </c:pt>
                <c:pt idx="30">
                  <c:v>2049.0</c:v>
                </c:pt>
              </c:numCache>
            </c:numRef>
          </c:cat>
          <c:val>
            <c:numRef>
              <c:f>'Graph Data'!$H$26:$AL$26</c:f>
              <c:numCache>
                <c:formatCode>#,##0.00</c:formatCode>
                <c:ptCount val="31"/>
                <c:pt idx="0">
                  <c:v>6.365450673261885</c:v>
                </c:pt>
                <c:pt idx="1">
                  <c:v>10.4559631766969</c:v>
                </c:pt>
                <c:pt idx="2">
                  <c:v>5.009789777411376</c:v>
                </c:pt>
                <c:pt idx="3">
                  <c:v>21.69668865072822</c:v>
                </c:pt>
                <c:pt idx="4">
                  <c:v>10.39409865347623</c:v>
                </c:pt>
                <c:pt idx="5">
                  <c:v>16.34903132728772</c:v>
                </c:pt>
                <c:pt idx="6">
                  <c:v>1.037956856279198</c:v>
                </c:pt>
                <c:pt idx="7">
                  <c:v>4.291563616378126</c:v>
                </c:pt>
                <c:pt idx="8">
                  <c:v>55.7623660346249</c:v>
                </c:pt>
                <c:pt idx="9">
                  <c:v>12.03613630118164</c:v>
                </c:pt>
                <c:pt idx="10">
                  <c:v>5.08302418246771</c:v>
                </c:pt>
                <c:pt idx="11">
                  <c:v>11.83611569112394</c:v>
                </c:pt>
                <c:pt idx="12">
                  <c:v>15.21915361363012</c:v>
                </c:pt>
                <c:pt idx="13">
                  <c:v>39.29149491618576</c:v>
                </c:pt>
                <c:pt idx="14">
                  <c:v>8.313444627644958</c:v>
                </c:pt>
                <c:pt idx="15">
                  <c:v>7.976641934597416</c:v>
                </c:pt>
                <c:pt idx="16">
                  <c:v>15.95180681505908</c:v>
                </c:pt>
                <c:pt idx="17">
                  <c:v>47.48327150316021</c:v>
                </c:pt>
                <c:pt idx="18">
                  <c:v>39.03661720252816</c:v>
                </c:pt>
                <c:pt idx="19">
                  <c:v>21.87118713932399</c:v>
                </c:pt>
                <c:pt idx="20">
                  <c:v>28.41821242099478</c:v>
                </c:pt>
                <c:pt idx="21">
                  <c:v>18.69163918658972</c:v>
                </c:pt>
                <c:pt idx="22">
                  <c:v>7.372767243748282</c:v>
                </c:pt>
                <c:pt idx="23">
                  <c:v>2.344531464688101</c:v>
                </c:pt>
                <c:pt idx="24">
                  <c:v>22.35442429238802</c:v>
                </c:pt>
                <c:pt idx="25">
                  <c:v>32.44624209947788</c:v>
                </c:pt>
                <c:pt idx="26">
                  <c:v>12.75793487221764</c:v>
                </c:pt>
                <c:pt idx="27">
                  <c:v>15.32797471832921</c:v>
                </c:pt>
                <c:pt idx="28">
                  <c:v>10.59837867546029</c:v>
                </c:pt>
                <c:pt idx="29">
                  <c:v>39.05265869744435</c:v>
                </c:pt>
                <c:pt idx="30">
                  <c:v>10.19627644957406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B4-4F5D-87BA-9B117A5027E7}"/>
            </c:ext>
          </c:extLst>
        </c:ser>
        <c:ser>
          <c:idx val="1"/>
          <c:order val="1"/>
          <c:tx>
            <c:v>Full Funding Deposit Monthly Fee</c:v>
          </c:tx>
          <c:marker>
            <c:symbol val="none"/>
          </c:marker>
          <c:cat>
            <c:numRef>
              <c:f>'Graph Data'!$H$25:$AL$25</c:f>
              <c:numCache>
                <c:formatCode>General</c:formatCode>
                <c:ptCount val="31"/>
                <c:pt idx="0">
                  <c:v>2019.0</c:v>
                </c:pt>
                <c:pt idx="1">
                  <c:v>2020.0</c:v>
                </c:pt>
                <c:pt idx="2">
                  <c:v>2021.0</c:v>
                </c:pt>
                <c:pt idx="3">
                  <c:v>2022.0</c:v>
                </c:pt>
                <c:pt idx="4">
                  <c:v>2023.0</c:v>
                </c:pt>
                <c:pt idx="5">
                  <c:v>2024.0</c:v>
                </c:pt>
                <c:pt idx="6">
                  <c:v>2025.0</c:v>
                </c:pt>
                <c:pt idx="7">
                  <c:v>2026.0</c:v>
                </c:pt>
                <c:pt idx="8">
                  <c:v>2027.0</c:v>
                </c:pt>
                <c:pt idx="9">
                  <c:v>2028.0</c:v>
                </c:pt>
                <c:pt idx="10">
                  <c:v>2029.0</c:v>
                </c:pt>
                <c:pt idx="11">
                  <c:v>2030.0</c:v>
                </c:pt>
                <c:pt idx="12">
                  <c:v>2031.0</c:v>
                </c:pt>
                <c:pt idx="13">
                  <c:v>2032.0</c:v>
                </c:pt>
                <c:pt idx="14">
                  <c:v>2033.0</c:v>
                </c:pt>
                <c:pt idx="15">
                  <c:v>2034.0</c:v>
                </c:pt>
                <c:pt idx="16">
                  <c:v>2035.0</c:v>
                </c:pt>
                <c:pt idx="17">
                  <c:v>2036.0</c:v>
                </c:pt>
                <c:pt idx="18">
                  <c:v>2037.0</c:v>
                </c:pt>
                <c:pt idx="19">
                  <c:v>2038.0</c:v>
                </c:pt>
                <c:pt idx="20">
                  <c:v>2039.0</c:v>
                </c:pt>
                <c:pt idx="21">
                  <c:v>2040.0</c:v>
                </c:pt>
                <c:pt idx="22">
                  <c:v>2041.0</c:v>
                </c:pt>
                <c:pt idx="23">
                  <c:v>2042.0</c:v>
                </c:pt>
                <c:pt idx="24">
                  <c:v>2043.0</c:v>
                </c:pt>
                <c:pt idx="25">
                  <c:v>2044.0</c:v>
                </c:pt>
                <c:pt idx="26">
                  <c:v>2045.0</c:v>
                </c:pt>
                <c:pt idx="27">
                  <c:v>2046.0</c:v>
                </c:pt>
                <c:pt idx="28">
                  <c:v>2047.0</c:v>
                </c:pt>
                <c:pt idx="29">
                  <c:v>2048.0</c:v>
                </c:pt>
                <c:pt idx="30">
                  <c:v>2049.0</c:v>
                </c:pt>
              </c:numCache>
            </c:numRef>
          </c:cat>
          <c:val>
            <c:numRef>
              <c:f>'Graph Data'!$H$28:$AL$28</c:f>
              <c:numCache>
                <c:formatCode>#,##0.00</c:formatCode>
                <c:ptCount val="31"/>
                <c:pt idx="0">
                  <c:v>15.57199331493189</c:v>
                </c:pt>
                <c:pt idx="1">
                  <c:v>15.97722882529598</c:v>
                </c:pt>
                <c:pt idx="2">
                  <c:v>16.16903222284983</c:v>
                </c:pt>
                <c:pt idx="3">
                  <c:v>17.05358489103401</c:v>
                </c:pt>
                <c:pt idx="4">
                  <c:v>17.48507484152067</c:v>
                </c:pt>
                <c:pt idx="5">
                  <c:v>18.17602440030471</c:v>
                </c:pt>
                <c:pt idx="6">
                  <c:v>18.2352776214355</c:v>
                </c:pt>
                <c:pt idx="7">
                  <c:v>18.39416165010148</c:v>
                </c:pt>
                <c:pt idx="8">
                  <c:v>20.62236255520287</c:v>
                </c:pt>
                <c:pt idx="9">
                  <c:v>21.07197016046071</c:v>
                </c:pt>
                <c:pt idx="10">
                  <c:v>21.25966060648971</c:v>
                </c:pt>
                <c:pt idx="11">
                  <c:v>21.71192459732648</c:v>
                </c:pt>
                <c:pt idx="12">
                  <c:v>22.30574768476412</c:v>
                </c:pt>
                <c:pt idx="13">
                  <c:v>23.83041426972055</c:v>
                </c:pt>
                <c:pt idx="14">
                  <c:v>24.19427381428002</c:v>
                </c:pt>
                <c:pt idx="15">
                  <c:v>24.49430379332203</c:v>
                </c:pt>
                <c:pt idx="16">
                  <c:v>25.2738080967395</c:v>
                </c:pt>
                <c:pt idx="17">
                  <c:v>27.22361181254854</c:v>
                </c:pt>
                <c:pt idx="18">
                  <c:v>28.89669561717662</c:v>
                </c:pt>
                <c:pt idx="19">
                  <c:v>29.81601641524668</c:v>
                </c:pt>
                <c:pt idx="20">
                  <c:v>31.02044099047109</c:v>
                </c:pt>
                <c:pt idx="21">
                  <c:v>31.76443568581825</c:v>
                </c:pt>
                <c:pt idx="22">
                  <c:v>32.116397278933</c:v>
                </c:pt>
                <c:pt idx="23">
                  <c:v>36.83069758811099</c:v>
                </c:pt>
                <c:pt idx="24">
                  <c:v>37.7307016046189</c:v>
                </c:pt>
                <c:pt idx="25">
                  <c:v>39.09768495793212</c:v>
                </c:pt>
                <c:pt idx="26">
                  <c:v>39.58485645359354</c:v>
                </c:pt>
                <c:pt idx="27">
                  <c:v>40.19016989119782</c:v>
                </c:pt>
                <c:pt idx="28">
                  <c:v>40.63855463574541</c:v>
                </c:pt>
                <c:pt idx="29">
                  <c:v>42.0991729591962</c:v>
                </c:pt>
                <c:pt idx="30">
                  <c:v>42.54338766790254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B4-4F5D-87BA-9B117A50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9115992"/>
        <c:axId val="-2098696200"/>
      </c:lineChart>
      <c:catAx>
        <c:axId val="-209911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 i="0"/>
            </a:pPr>
            <a:endParaRPr lang="en-US"/>
          </a:p>
        </c:txPr>
        <c:crossAx val="-2098696200"/>
        <c:crosses val="autoZero"/>
        <c:auto val="1"/>
        <c:lblAlgn val="ctr"/>
        <c:lblOffset val="100"/>
        <c:noMultiLvlLbl val="0"/>
      </c:catAx>
      <c:valAx>
        <c:axId val="-209869620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/>
            </a:pPr>
            <a:endParaRPr lang="en-US"/>
          </a:p>
        </c:txPr>
        <c:crossAx val="-20991159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1" i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</a:t>
            </a:r>
            <a:r>
              <a:rPr lang="en-US" baseline="0">
                <a:solidFill>
                  <a:srgbClr val="0000FF"/>
                </a:solidFill>
              </a:rPr>
              <a:t>30-Year Capital Reserve Target Bal</a:t>
            </a:r>
            <a:r>
              <a:rPr lang="en-US" sz="1800" u="none" strike="noStrike" baseline="0">
                <a:solidFill>
                  <a:srgbClr val="0000FF"/>
                </a:solidFill>
                <a:latin typeface="+mn-lt"/>
                <a:ea typeface="+mn-lt"/>
                <a:cs typeface="+mn-lt"/>
              </a:rPr>
              <a:t>ance, Balance, Fee Deposits and Capital Expenses </a:t>
            </a:r>
            <a:endParaRPr lang="en-US">
              <a:solidFill>
                <a:srgbClr val="0000FF"/>
              </a:solidFill>
            </a:endParaRPr>
          </a:p>
        </c:rich>
      </c:tx>
      <c:layout>
        <c:manualLayout>
          <c:xMode val="edge"/>
          <c:yMode val="edge"/>
          <c:x val="0.199005584242622"/>
          <c:y val="0.017233453926367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82849383574687"/>
          <c:y val="0.0978823529411764"/>
          <c:w val="0.917342850689658"/>
          <c:h val="0.790356461324687"/>
        </c:manualLayout>
      </c:layout>
      <c:lineChart>
        <c:grouping val="standard"/>
        <c:varyColors val="0"/>
        <c:ser>
          <c:idx val="0"/>
          <c:order val="0"/>
          <c:tx>
            <c:v>60% of Full Funding Balance</c:v>
          </c:tx>
          <c:spPr>
            <a:ln>
              <a:solidFill>
                <a:srgbClr val="660066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Data'!$D$19:$AH$19</c:f>
              <c:numCache>
                <c:formatCode>#,##0</c:formatCode>
                <c:ptCount val="31"/>
                <c:pt idx="0">
                  <c:v>2.72411407612968E6</c:v>
                </c:pt>
                <c:pt idx="1">
                  <c:v>2.97440367178036E6</c:v>
                </c:pt>
                <c:pt idx="2">
                  <c:v>2.94780580832633E6</c:v>
                </c:pt>
                <c:pt idx="3">
                  <c:v>3.12975665819711E6</c:v>
                </c:pt>
                <c:pt idx="4">
                  <c:v>3.22140521745639E6</c:v>
                </c:pt>
                <c:pt idx="5">
                  <c:v>3.57852021403412E6</c:v>
                </c:pt>
                <c:pt idx="6">
                  <c:v>3.89842792920255E6</c:v>
                </c:pt>
                <c:pt idx="7">
                  <c:v>3.34605218989411E6</c:v>
                </c:pt>
                <c:pt idx="8">
                  <c:v>3.56973514581213E6</c:v>
                </c:pt>
                <c:pt idx="9">
                  <c:v>3.92540446296861E6</c:v>
                </c:pt>
                <c:pt idx="10">
                  <c:v>4.17599921831422E6</c:v>
                </c:pt>
                <c:pt idx="11">
                  <c:v>4.38189574264229E6</c:v>
                </c:pt>
                <c:pt idx="12">
                  <c:v>4.18944155881878E6</c:v>
                </c:pt>
                <c:pt idx="13">
                  <c:v>4.52895706702883E6</c:v>
                </c:pt>
                <c:pt idx="14">
                  <c:v>4.90966617562619E6</c:v>
                </c:pt>
                <c:pt idx="15">
                  <c:v>5.13788794616464E6</c:v>
                </c:pt>
                <c:pt idx="16">
                  <c:v>4.86349267710042E6</c:v>
                </c:pt>
                <c:pt idx="17">
                  <c:v>4.77419111959218E6</c:v>
                </c:pt>
                <c:pt idx="18">
                  <c:v>5.00520065744517E6</c:v>
                </c:pt>
                <c:pt idx="19">
                  <c:v>5.14535002474269E6</c:v>
                </c:pt>
                <c:pt idx="20">
                  <c:v>5.47489128569942E6</c:v>
                </c:pt>
                <c:pt idx="21">
                  <c:v>6.00108100447601E6</c:v>
                </c:pt>
                <c:pt idx="22">
                  <c:v>4.63572490704568E6</c:v>
                </c:pt>
                <c:pt idx="23">
                  <c:v>4.99346685804549E6</c:v>
                </c:pt>
                <c:pt idx="24">
                  <c:v>5.19114568560587E6</c:v>
                </c:pt>
                <c:pt idx="25">
                  <c:v>5.76407128439871E6</c:v>
                </c:pt>
                <c:pt idx="26">
                  <c:v>6.31376735826661E6</c:v>
                </c:pt>
                <c:pt idx="27">
                  <c:v>6.96718674020238E6</c:v>
                </c:pt>
                <c:pt idx="28">
                  <c:v>7.15238704746513E6</c:v>
                </c:pt>
                <c:pt idx="29">
                  <c:v>7.83980079212179E6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97-41A5-A9B3-4919B6F633F4}"/>
            </c:ext>
          </c:extLst>
        </c:ser>
        <c:ser>
          <c:idx val="2"/>
          <c:order val="1"/>
          <c:tx>
            <c:v>HGMD Capital Expenses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Data'!$D$7:$AH$7</c:f>
              <c:numCache>
                <c:formatCode>#,##0</c:formatCode>
                <c:ptCount val="31"/>
                <c:pt idx="0">
                  <c:v>304394.0</c:v>
                </c:pt>
                <c:pt idx="1">
                  <c:v>145845.0</c:v>
                </c:pt>
                <c:pt idx="2">
                  <c:v>631634.0</c:v>
                </c:pt>
                <c:pt idx="3">
                  <c:v>302593.0</c:v>
                </c:pt>
                <c:pt idx="4">
                  <c:v>475953.0</c:v>
                </c:pt>
                <c:pt idx="5">
                  <c:v>30217.0</c:v>
                </c:pt>
                <c:pt idx="6">
                  <c:v>124936.0</c:v>
                </c:pt>
                <c:pt idx="7">
                  <c:v>1.623354E6</c:v>
                </c:pt>
                <c:pt idx="8">
                  <c:v>350396.0</c:v>
                </c:pt>
                <c:pt idx="9">
                  <c:v>147977.0</c:v>
                </c:pt>
                <c:pt idx="10">
                  <c:v>344573.0</c:v>
                </c:pt>
                <c:pt idx="11">
                  <c:v>443060.0</c:v>
                </c:pt>
                <c:pt idx="12">
                  <c:v>1.143854E6</c:v>
                </c:pt>
                <c:pt idx="13">
                  <c:v>242021.0</c:v>
                </c:pt>
                <c:pt idx="14">
                  <c:v>232216.0</c:v>
                </c:pt>
                <c:pt idx="15">
                  <c:v>464389.0</c:v>
                </c:pt>
                <c:pt idx="16">
                  <c:v>1.382333E6</c:v>
                </c:pt>
                <c:pt idx="17">
                  <c:v>1.136434E6</c:v>
                </c:pt>
                <c:pt idx="18">
                  <c:v>636714.0</c:v>
                </c:pt>
                <c:pt idx="19">
                  <c:v>827311.0</c:v>
                </c:pt>
                <c:pt idx="20">
                  <c:v>544151.0</c:v>
                </c:pt>
                <c:pt idx="21">
                  <c:v>214636.0</c:v>
                </c:pt>
                <c:pt idx="22">
                  <c:v>68254.0</c:v>
                </c:pt>
                <c:pt idx="23">
                  <c:v>650782.0</c:v>
                </c:pt>
                <c:pt idx="24">
                  <c:v>944575.0</c:v>
                </c:pt>
                <c:pt idx="25">
                  <c:v>371409.0</c:v>
                </c:pt>
                <c:pt idx="26">
                  <c:v>446228.0</c:v>
                </c:pt>
                <c:pt idx="27">
                  <c:v>308540.0</c:v>
                </c:pt>
                <c:pt idx="28">
                  <c:v>1.136901E6</c:v>
                </c:pt>
                <c:pt idx="29">
                  <c:v>296834.0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97-41A5-A9B3-4919B6F633F4}"/>
            </c:ext>
          </c:extLst>
        </c:ser>
        <c:ser>
          <c:idx val="3"/>
          <c:order val="2"/>
          <c:tx>
            <c:v>HGMD Balance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Data'!$D$13:$AG$13</c:f>
              <c:numCache>
                <c:formatCode>"$"#,##0;[Red]\-"$"#,##0</c:formatCode>
                <c:ptCount val="30"/>
                <c:pt idx="0">
                  <c:v>92683.73000000001</c:v>
                </c:pt>
                <c:pt idx="1">
                  <c:v>332058.8705</c:v>
                </c:pt>
                <c:pt idx="2">
                  <c:v>102669.6840667499</c:v>
                </c:pt>
                <c:pt idx="3">
                  <c:v>212784.8974048248</c:v>
                </c:pt>
                <c:pt idx="4">
                  <c:v>167424.7781971213</c:v>
                </c:pt>
                <c:pt idx="5">
                  <c:v>580172.7707184413</c:v>
                </c:pt>
                <c:pt idx="6">
                  <c:v>919808.8598572737</c:v>
                </c:pt>
                <c:pt idx="7">
                  <c:v>-213586.7137931494</c:v>
                </c:pt>
                <c:pt idx="8">
                  <c:v>-75643.91125009651</c:v>
                </c:pt>
                <c:pt idx="9">
                  <c:v>281809.749381963</c:v>
                </c:pt>
                <c:pt idx="10">
                  <c:v>464584.6293768741</c:v>
                </c:pt>
                <c:pt idx="11">
                  <c:v>569923.3582531053</c:v>
                </c:pt>
                <c:pt idx="12">
                  <c:v>-2725.97291649075</c:v>
                </c:pt>
                <c:pt idx="13">
                  <c:v>335246.3353798862</c:v>
                </c:pt>
                <c:pt idx="14">
                  <c:v>708352.1044973347</c:v>
                </c:pt>
                <c:pt idx="15">
                  <c:v>875891.7177445811</c:v>
                </c:pt>
                <c:pt idx="16">
                  <c:v>149746.0417993286</c:v>
                </c:pt>
                <c:pt idx="17">
                  <c:v>-318886.1060950026</c:v>
                </c:pt>
                <c:pt idx="18">
                  <c:v>-266749.99646457</c:v>
                </c:pt>
                <c:pt idx="19">
                  <c:v>-381101.1329970723</c:v>
                </c:pt>
                <c:pt idx="20">
                  <c:v>-187338.6743082122</c:v>
                </c:pt>
                <c:pt idx="21">
                  <c:v>361765.7554347579</c:v>
                </c:pt>
                <c:pt idx="22">
                  <c:v>1.08940958655025E6</c:v>
                </c:pt>
                <c:pt idx="23">
                  <c:v>1.27310657219992E6</c:v>
                </c:pt>
                <c:pt idx="24">
                  <c:v>1.20227676089333E6</c:v>
                </c:pt>
                <c:pt idx="25">
                  <c:v>1.73117390431384E6</c:v>
                </c:pt>
                <c:pt idx="26">
                  <c:v>2.23194956530058E6</c:v>
                </c:pt>
                <c:pt idx="27">
                  <c:v>2.90151337870459E6</c:v>
                </c:pt>
                <c:pt idx="28">
                  <c:v>2.80684507644932E6</c:v>
                </c:pt>
                <c:pt idx="29">
                  <c:v>3.58868934821686E6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97-41A5-A9B3-4919B6F633F4}"/>
            </c:ext>
          </c:extLst>
        </c:ser>
        <c:ser>
          <c:idx val="1"/>
          <c:order val="3"/>
          <c:tx>
            <c:v>HGMD Fee Deposits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'Graph Data'!$D$1:$AG$1</c:f>
              <c:numCache>
                <c:formatCode>General</c:formatCode>
                <c:ptCount val="30"/>
                <c:pt idx="0">
                  <c:v>2020.0</c:v>
                </c:pt>
                <c:pt idx="1">
                  <c:v>2021.0</c:v>
                </c:pt>
                <c:pt idx="2">
                  <c:v>2022.0</c:v>
                </c:pt>
                <c:pt idx="3">
                  <c:v>2023.0</c:v>
                </c:pt>
                <c:pt idx="4">
                  <c:v>2024.0</c:v>
                </c:pt>
                <c:pt idx="5">
                  <c:v>2025.0</c:v>
                </c:pt>
                <c:pt idx="6">
                  <c:v>2026.0</c:v>
                </c:pt>
                <c:pt idx="7">
                  <c:v>2027.0</c:v>
                </c:pt>
                <c:pt idx="8">
                  <c:v>2028.0</c:v>
                </c:pt>
                <c:pt idx="9">
                  <c:v>2029.0</c:v>
                </c:pt>
                <c:pt idx="10">
                  <c:v>2030.0</c:v>
                </c:pt>
                <c:pt idx="11">
                  <c:v>2031.0</c:v>
                </c:pt>
                <c:pt idx="12">
                  <c:v>2032.0</c:v>
                </c:pt>
                <c:pt idx="13">
                  <c:v>2033.0</c:v>
                </c:pt>
                <c:pt idx="14">
                  <c:v>2034.0</c:v>
                </c:pt>
                <c:pt idx="15">
                  <c:v>2035.0</c:v>
                </c:pt>
                <c:pt idx="16">
                  <c:v>2036.0</c:v>
                </c:pt>
                <c:pt idx="17">
                  <c:v>2037.0</c:v>
                </c:pt>
                <c:pt idx="18">
                  <c:v>2038.0</c:v>
                </c:pt>
                <c:pt idx="19">
                  <c:v>2039.0</c:v>
                </c:pt>
                <c:pt idx="20">
                  <c:v>2040.0</c:v>
                </c:pt>
                <c:pt idx="21">
                  <c:v>2041.0</c:v>
                </c:pt>
                <c:pt idx="22">
                  <c:v>2042.0</c:v>
                </c:pt>
                <c:pt idx="23">
                  <c:v>2043.0</c:v>
                </c:pt>
                <c:pt idx="24">
                  <c:v>2044.0</c:v>
                </c:pt>
                <c:pt idx="25">
                  <c:v>2045.0</c:v>
                </c:pt>
                <c:pt idx="26">
                  <c:v>2046.0</c:v>
                </c:pt>
                <c:pt idx="27">
                  <c:v>2047.0</c:v>
                </c:pt>
                <c:pt idx="28">
                  <c:v>2048.0</c:v>
                </c:pt>
                <c:pt idx="29">
                  <c:v>2049.0</c:v>
                </c:pt>
              </c:numCache>
            </c:numRef>
          </c:cat>
          <c:val>
            <c:numRef>
              <c:f>'Graph Data'!$D$8:$AG$8</c:f>
              <c:numCache>
                <c:formatCode>#,##0</c:formatCode>
                <c:ptCount val="30"/>
                <c:pt idx="0">
                  <c:v>370850.13</c:v>
                </c:pt>
                <c:pt idx="1">
                  <c:v>383829.88455</c:v>
                </c:pt>
                <c:pt idx="2">
                  <c:v>397263.93050925</c:v>
                </c:pt>
                <c:pt idx="3">
                  <c:v>411168.1680770736</c:v>
                </c:pt>
                <c:pt idx="4">
                  <c:v>425559.0539597712</c:v>
                </c:pt>
                <c:pt idx="5">
                  <c:v>440453.6208483631</c:v>
                </c:pt>
                <c:pt idx="6">
                  <c:v>455869.4975780558</c:v>
                </c:pt>
                <c:pt idx="7">
                  <c:v>471824.9299932878</c:v>
                </c:pt>
                <c:pt idx="8">
                  <c:v>488338.8025430528</c:v>
                </c:pt>
                <c:pt idx="9">
                  <c:v>505430.6606320596</c:v>
                </c:pt>
                <c:pt idx="10">
                  <c:v>523120.7337541817</c:v>
                </c:pt>
                <c:pt idx="11">
                  <c:v>541429.959435578</c:v>
                </c:pt>
                <c:pt idx="12">
                  <c:v>560380.0080158232</c:v>
                </c:pt>
                <c:pt idx="13">
                  <c:v>579993.308296377</c:v>
                </c:pt>
                <c:pt idx="14">
                  <c:v>600293.0740867502</c:v>
                </c:pt>
                <c:pt idx="15">
                  <c:v>621303.3316797863</c:v>
                </c:pt>
                <c:pt idx="16">
                  <c:v>643048.9482885787</c:v>
                </c:pt>
                <c:pt idx="17">
                  <c:v>665555.661478679</c:v>
                </c:pt>
                <c:pt idx="18">
                  <c:v>688850.1096304327</c:v>
                </c:pt>
                <c:pt idx="19">
                  <c:v>712959.8634674977</c:v>
                </c:pt>
                <c:pt idx="20">
                  <c:v>737913.45868886</c:v>
                </c:pt>
                <c:pt idx="21">
                  <c:v>763740.4297429702</c:v>
                </c:pt>
                <c:pt idx="22">
                  <c:v>790471.344783974</c:v>
                </c:pt>
                <c:pt idx="23">
                  <c:v>818137.841851413</c:v>
                </c:pt>
                <c:pt idx="24">
                  <c:v>846772.6663162123</c:v>
                </c:pt>
                <c:pt idx="25">
                  <c:v>876409.7096372797</c:v>
                </c:pt>
                <c:pt idx="26">
                  <c:v>907084.0494745844</c:v>
                </c:pt>
                <c:pt idx="27">
                  <c:v>938831.9912061947</c:v>
                </c:pt>
                <c:pt idx="28">
                  <c:v>971691.1108984115</c:v>
                </c:pt>
                <c:pt idx="29">
                  <c:v>1.00570029977986E6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97-41A5-A9B3-4919B6F63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8780856"/>
        <c:axId val="2103552536"/>
      </c:lineChart>
      <c:catAx>
        <c:axId val="-209878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="1" i="0"/>
            </a:pPr>
            <a:endParaRPr lang="en-US"/>
          </a:p>
        </c:txPr>
        <c:crossAx val="2103552536"/>
        <c:crosses val="autoZero"/>
        <c:auto val="1"/>
        <c:lblAlgn val="ctr"/>
        <c:lblOffset val="100"/>
        <c:noMultiLvlLbl val="0"/>
      </c:catAx>
      <c:valAx>
        <c:axId val="21035525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 b="1" i="0"/>
            </a:pPr>
            <a:endParaRPr lang="en-US"/>
          </a:p>
        </c:txPr>
        <c:crossAx val="-2098780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9691580350563"/>
          <c:y val="0.904709402501158"/>
          <c:w val="0.666925987563857"/>
          <c:h val="0.0529376563223715"/>
        </c:manualLayout>
      </c:layout>
      <c:overlay val="0"/>
      <c:txPr>
        <a:bodyPr/>
        <a:lstStyle/>
        <a:p>
          <a:pPr>
            <a:defRPr sz="1200" b="1" i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60</xdr:row>
      <xdr:rowOff>190500</xdr:rowOff>
    </xdr:from>
    <xdr:to>
      <xdr:col>10</xdr:col>
      <xdr:colOff>2336800</xdr:colOff>
      <xdr:row>82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88900</xdr:colOff>
      <xdr:row>35</xdr:row>
      <xdr:rowOff>25400</xdr:rowOff>
    </xdr:from>
    <xdr:to>
      <xdr:col>10</xdr:col>
      <xdr:colOff>2374900</xdr:colOff>
      <xdr:row>57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85</xdr:row>
      <xdr:rowOff>139700</xdr:rowOff>
    </xdr:from>
    <xdr:to>
      <xdr:col>10</xdr:col>
      <xdr:colOff>2374900</xdr:colOff>
      <xdr:row>110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127000</xdr:colOff>
      <xdr:row>9</xdr:row>
      <xdr:rowOff>241300</xdr:rowOff>
    </xdr:from>
    <xdr:to>
      <xdr:col>10</xdr:col>
      <xdr:colOff>1778000</xdr:colOff>
      <xdr:row>28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S119"/>
  <sheetViews>
    <sheetView showGridLines="0" tabSelected="1" workbookViewId="0">
      <pane ySplit="9" topLeftCell="A10" activePane="bottomLeft" state="frozenSplit"/>
      <selection pane="bottomLeft" activeCell="E10" sqref="E10"/>
    </sheetView>
  </sheetViews>
  <sheetFormatPr baseColWidth="10" defaultColWidth="10.83203125" defaultRowHeight="18" x14ac:dyDescent="0"/>
  <cols>
    <col min="1" max="1" width="1.83203125" style="4" customWidth="1"/>
    <col min="2" max="2" width="15.83203125" style="4" customWidth="1"/>
    <col min="3" max="3" width="12.33203125" style="4" customWidth="1"/>
    <col min="4" max="4" width="2.83203125" style="4" customWidth="1"/>
    <col min="5" max="5" width="26.83203125" style="4" customWidth="1"/>
    <col min="6" max="6" width="15.83203125" style="4" customWidth="1"/>
    <col min="7" max="7" width="17.83203125" style="4" customWidth="1"/>
    <col min="8" max="8" width="2.1640625" style="4" customWidth="1"/>
    <col min="9" max="10" width="16.6640625" style="4" customWidth="1"/>
    <col min="11" max="11" width="25.83203125" style="4" customWidth="1"/>
    <col min="12" max="12" width="1.83203125" style="4" customWidth="1"/>
    <col min="13" max="13" width="14.83203125" style="4" customWidth="1"/>
    <col min="14" max="14" width="6.33203125" style="4" customWidth="1"/>
    <col min="15" max="15" width="11.83203125" style="4" customWidth="1"/>
    <col min="16" max="16" width="10.83203125" style="4" customWidth="1"/>
    <col min="17" max="18" width="9.83203125" style="4" customWidth="1"/>
    <col min="19" max="19" width="10.83203125" style="4" customWidth="1"/>
    <col min="20" max="16384" width="10.83203125" style="4"/>
  </cols>
  <sheetData>
    <row r="1" spans="1:19" ht="24">
      <c r="A1" s="279" t="str">
        <f>"Heather Gardens Metropolitan District "&amp;AnalysisYear&amp;" Capital Reserve Financial Assessment"</f>
        <v>Heather Gardens Metropolitan District 2020 Capital Reserve Financial Assessment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M1" s="279" t="s">
        <v>417</v>
      </c>
      <c r="N1" s="279"/>
      <c r="O1" s="279"/>
      <c r="P1" s="279"/>
      <c r="Q1" s="279"/>
      <c r="R1" s="279"/>
      <c r="S1" s="279"/>
    </row>
    <row r="2" spans="1:19" ht="40.25" customHeight="1" thickBot="1">
      <c r="A2" s="6"/>
      <c r="B2" s="8" t="s">
        <v>75</v>
      </c>
      <c r="C2" s="9" t="s">
        <v>76</v>
      </c>
      <c r="D2" s="6"/>
      <c r="E2" s="8" t="s">
        <v>95</v>
      </c>
      <c r="F2" s="20" t="s">
        <v>93</v>
      </c>
      <c r="G2" s="20" t="s">
        <v>94</v>
      </c>
      <c r="H2" s="274"/>
      <c r="I2" s="21" t="s">
        <v>96</v>
      </c>
      <c r="J2" s="9" t="s">
        <v>76</v>
      </c>
      <c r="K2" s="8" t="s">
        <v>176</v>
      </c>
      <c r="L2" s="6"/>
      <c r="M2" s="280" t="s">
        <v>418</v>
      </c>
      <c r="N2" s="280"/>
      <c r="O2" s="21" t="s">
        <v>419</v>
      </c>
      <c r="P2" s="21" t="s">
        <v>420</v>
      </c>
      <c r="Q2" s="21" t="s">
        <v>421</v>
      </c>
      <c r="R2" s="21" t="s">
        <v>87</v>
      </c>
      <c r="S2" s="21" t="s">
        <v>422</v>
      </c>
    </row>
    <row r="3" spans="1:19" ht="21.75" customHeight="1">
      <c r="A3" s="6"/>
      <c r="B3" s="6" t="s">
        <v>88</v>
      </c>
      <c r="C3" s="32">
        <v>2020</v>
      </c>
      <c r="D3" s="6"/>
      <c r="E3" s="6" t="s">
        <v>81</v>
      </c>
      <c r="F3" s="22">
        <f>'FF Balance'!K195</f>
        <v>4295638.8967208331</v>
      </c>
      <c r="G3" s="22">
        <f>'FF Deposit'!L196</f>
        <v>465129.08556201652</v>
      </c>
      <c r="H3" s="274"/>
      <c r="I3" s="33">
        <f>HGMD_Deposit/2426/12</f>
        <v>7.5253503709810383</v>
      </c>
      <c r="J3" s="45">
        <v>219078</v>
      </c>
      <c r="K3" s="6" t="str">
        <f>"Current "&amp;AnalysisYear-1&amp;" Deposit"</f>
        <v>Current 2019 Deposit</v>
      </c>
      <c r="L3" s="6"/>
      <c r="M3" s="6" t="s">
        <v>423</v>
      </c>
      <c r="N3" s="244">
        <v>1</v>
      </c>
      <c r="O3" s="245">
        <f>Components!AR196</f>
        <v>-212278</v>
      </c>
      <c r="P3" s="246">
        <v>10000</v>
      </c>
      <c r="Q3" s="246">
        <v>10000</v>
      </c>
      <c r="R3" s="247">
        <f>EarningsRate/2</f>
        <v>1.0500000000000001E-2</v>
      </c>
      <c r="S3" s="248">
        <f>Components!AR213</f>
        <v>235724.30503217838</v>
      </c>
    </row>
    <row r="4" spans="1:19" ht="21.75" customHeight="1" thickBot="1">
      <c r="A4" s="6"/>
      <c r="B4" s="6" t="s">
        <v>86</v>
      </c>
      <c r="C4" s="34">
        <v>3.5000000000000003E-2</v>
      </c>
      <c r="D4" s="6"/>
      <c r="E4" s="6" t="str">
        <f>"Jan 1, "&amp;AnalysisYear-1&amp;" Actual"</f>
        <v>Jan 1, 2019 Actual</v>
      </c>
      <c r="F4" s="73">
        <v>0</v>
      </c>
      <c r="G4" s="22">
        <f>HGMD_Deposit</f>
        <v>219078</v>
      </c>
      <c r="H4" s="274"/>
      <c r="I4" s="33">
        <f>J4/2426/12</f>
        <v>7.7887469084913441</v>
      </c>
      <c r="J4" s="22">
        <f>ROUND(219078*(1+InflationRate),0)</f>
        <v>226746</v>
      </c>
      <c r="K4" s="6" t="str">
        <f>"Est. "&amp;AnalysisYear&amp;" Base Deposit"</f>
        <v>Est. 2020 Base Deposit</v>
      </c>
      <c r="L4" s="6"/>
      <c r="M4" s="6" t="s">
        <v>424</v>
      </c>
      <c r="N4" s="244">
        <v>0</v>
      </c>
      <c r="O4" s="245">
        <f>Components!AR197</f>
        <v>0</v>
      </c>
      <c r="P4" s="246">
        <v>179000</v>
      </c>
      <c r="Q4" s="246">
        <v>2000</v>
      </c>
      <c r="R4" s="247">
        <f>EarningsRate/2</f>
        <v>1.0500000000000001E-2</v>
      </c>
      <c r="S4" s="248">
        <f>Components!AR218</f>
        <v>339123.70675385068</v>
      </c>
    </row>
    <row r="5" spans="1:19" ht="21.75" customHeight="1">
      <c r="A5" s="6"/>
      <c r="B5" s="35" t="s">
        <v>87</v>
      </c>
      <c r="C5" s="36">
        <v>2.1000000000000001E-2</v>
      </c>
      <c r="D5" s="6"/>
      <c r="E5" s="5" t="s">
        <v>77</v>
      </c>
      <c r="F5" s="7">
        <f>HGMD_Balance/F3</f>
        <v>0</v>
      </c>
      <c r="G5" s="7">
        <f>HGMD_Deposit/G3</f>
        <v>0.47100473137535048</v>
      </c>
      <c r="H5" s="274"/>
      <c r="I5" s="37">
        <f>8-0.3-1-1.75+(0.35+0.15)*0</f>
        <v>4.95</v>
      </c>
      <c r="J5" s="71">
        <f>I5*12*2426</f>
        <v>144104.40000000002</v>
      </c>
      <c r="K5" s="38" t="s">
        <v>103</v>
      </c>
      <c r="L5" s="6"/>
      <c r="M5" s="6" t="s">
        <v>425</v>
      </c>
      <c r="N5" s="244">
        <v>1</v>
      </c>
      <c r="O5" s="245">
        <f>Components!AR195</f>
        <v>-3416417</v>
      </c>
      <c r="P5" s="249"/>
      <c r="Q5" s="249"/>
      <c r="R5" s="250"/>
      <c r="S5" s="250"/>
    </row>
    <row r="6" spans="1:19" ht="21.75" customHeight="1">
      <c r="A6" s="6"/>
      <c r="B6" s="39" t="s">
        <v>128</v>
      </c>
      <c r="C6" s="40">
        <v>1.4999999999999999E-2</v>
      </c>
      <c r="D6" s="6"/>
      <c r="E6" s="35" t="s">
        <v>440</v>
      </c>
      <c r="F6" s="269" t="str">
        <f>COUNT('Graph Data'!D14:AG14)&amp;" &lt; Zero"</f>
        <v>7 &lt; Zero</v>
      </c>
      <c r="G6" s="270" t="str">
        <f>COUNT('Graph Data'!D15:AG15)&amp;" &lt; $250,000"</f>
        <v>12 &lt; $250,000</v>
      </c>
      <c r="H6" s="274"/>
      <c r="I6" s="41">
        <v>2020</v>
      </c>
      <c r="J6" s="42">
        <v>2050</v>
      </c>
      <c r="K6" s="43" t="s">
        <v>369</v>
      </c>
      <c r="L6" s="6"/>
      <c r="M6" s="6" t="s">
        <v>426</v>
      </c>
      <c r="N6" s="251">
        <v>0.05</v>
      </c>
      <c r="O6" s="245">
        <f>Components!AR209</f>
        <v>276883.56039228261</v>
      </c>
      <c r="P6" s="252" t="s">
        <v>427</v>
      </c>
      <c r="Q6" s="253">
        <v>2040</v>
      </c>
      <c r="R6" s="254" t="s">
        <v>428</v>
      </c>
      <c r="S6" s="255"/>
    </row>
    <row r="7" spans="1:19" ht="21.75" customHeight="1">
      <c r="A7" s="6"/>
      <c r="B7" s="39" t="s">
        <v>129</v>
      </c>
      <c r="C7" s="40">
        <v>2.5999999999999999E-2</v>
      </c>
      <c r="D7" s="6"/>
      <c r="E7" s="271"/>
      <c r="F7" s="272" t="str">
        <f>COUNT('Graph Data'!D16:AG16)&amp;" &lt; $500,000"</f>
        <v>17 &lt; $500,000</v>
      </c>
      <c r="G7" s="273"/>
      <c r="H7" s="274"/>
      <c r="I7" s="6" t="s">
        <v>130</v>
      </c>
      <c r="K7" s="45">
        <v>5000</v>
      </c>
      <c r="L7" s="6"/>
      <c r="M7" s="6" t="s">
        <v>429</v>
      </c>
      <c r="N7" s="256">
        <v>20</v>
      </c>
      <c r="O7" s="257">
        <f>Components!AR210</f>
        <v>114.13172316252374</v>
      </c>
      <c r="P7" s="258" t="s">
        <v>430</v>
      </c>
      <c r="Q7" s="287">
        <f>582400/2426</f>
        <v>240.06595218466612</v>
      </c>
      <c r="R7" s="259">
        <f>(337058+7960+250000-36996-180)/2426</f>
        <v>229.94311624072549</v>
      </c>
      <c r="S7" s="260" t="s">
        <v>431</v>
      </c>
    </row>
    <row r="8" spans="1:19" ht="21.75" customHeight="1">
      <c r="A8" s="6"/>
      <c r="B8" s="46" t="s">
        <v>131</v>
      </c>
      <c r="C8" s="47">
        <v>1.5</v>
      </c>
      <c r="D8" s="6"/>
      <c r="E8" s="6" t="s">
        <v>175</v>
      </c>
      <c r="F8" s="44">
        <v>0</v>
      </c>
      <c r="G8" s="45">
        <v>0</v>
      </c>
      <c r="H8" s="274"/>
      <c r="I8" s="6" t="s">
        <v>132</v>
      </c>
      <c r="K8" s="48">
        <v>0.6</v>
      </c>
      <c r="L8" s="6"/>
      <c r="M8" s="6" t="s">
        <v>432</v>
      </c>
      <c r="N8" s="251">
        <v>0.01</v>
      </c>
      <c r="O8" s="257">
        <f>Components!AR211</f>
        <v>9.5109769302103118</v>
      </c>
      <c r="P8" s="258" t="s">
        <v>433</v>
      </c>
      <c r="Q8" s="261">
        <f>Q7/12</f>
        <v>20.005496015388843</v>
      </c>
      <c r="R8" s="259">
        <f>R7/12</f>
        <v>19.161926353393792</v>
      </c>
      <c r="S8" s="260" t="s">
        <v>433</v>
      </c>
    </row>
    <row r="9" spans="1:19" ht="21.75" customHeight="1">
      <c r="A9" s="6"/>
      <c r="B9" s="6"/>
      <c r="C9" s="6"/>
      <c r="D9" s="6"/>
      <c r="E9" s="6"/>
      <c r="F9" s="6"/>
      <c r="G9" s="6"/>
      <c r="H9" s="6"/>
      <c r="I9" s="6"/>
      <c r="J9" s="6"/>
      <c r="L9" s="6"/>
      <c r="M9" s="6" t="s">
        <v>434</v>
      </c>
      <c r="N9" s="256">
        <v>2042</v>
      </c>
      <c r="O9" s="262" t="str">
        <f>IF(PropertyTaxUse=1,"Thru "&amp;BondUseYear+BondUseLife-1,"-")</f>
        <v>Thru 2061</v>
      </c>
      <c r="P9" s="6"/>
      <c r="Q9" s="46"/>
      <c r="R9" s="263">
        <v>2040</v>
      </c>
      <c r="S9" s="264" t="s">
        <v>435</v>
      </c>
    </row>
    <row r="10" spans="1:19" ht="21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L10" s="6"/>
      <c r="M10" s="6"/>
    </row>
    <row r="11" spans="1:19" ht="21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L11" s="6"/>
      <c r="M11" s="6"/>
    </row>
    <row r="12" spans="1:19" ht="21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L12" s="6"/>
      <c r="M12" s="6"/>
    </row>
    <row r="13" spans="1:19" ht="21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L13" s="6"/>
      <c r="M13" s="6"/>
    </row>
    <row r="14" spans="1:19" ht="21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L14" s="6"/>
      <c r="M14" s="6"/>
    </row>
    <row r="15" spans="1:19" ht="21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L15" s="6"/>
      <c r="M15" s="6"/>
    </row>
    <row r="16" spans="1:19" ht="21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L16" s="6"/>
      <c r="M16" s="6"/>
    </row>
    <row r="17" spans="1:19" ht="21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L17" s="6"/>
      <c r="M17" s="6"/>
    </row>
    <row r="18" spans="1:19" ht="21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L18" s="6"/>
      <c r="M18" s="6"/>
    </row>
    <row r="19" spans="1:19" ht="21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L19" s="6"/>
      <c r="M19" s="6"/>
    </row>
    <row r="20" spans="1:19" ht="21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L20" s="6"/>
      <c r="M20" s="6"/>
    </row>
    <row r="21" spans="1:19" ht="21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L21" s="6"/>
      <c r="M21" s="6"/>
    </row>
    <row r="22" spans="1:19" ht="21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L22" s="6"/>
      <c r="M22" s="6"/>
    </row>
    <row r="23" spans="1:19" ht="21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L23" s="6"/>
      <c r="M23" s="6"/>
    </row>
    <row r="24" spans="1:19" ht="21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L24" s="6"/>
      <c r="M24" s="6"/>
    </row>
    <row r="25" spans="1:19" ht="21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L25" s="6"/>
      <c r="M25" s="6"/>
    </row>
    <row r="26" spans="1:19" ht="21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L26" s="6"/>
      <c r="M26" s="6"/>
    </row>
    <row r="27" spans="1:19" ht="21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L27" s="6"/>
      <c r="M27" s="6"/>
    </row>
    <row r="28" spans="1:19" ht="21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L28" s="6"/>
      <c r="M28" s="6"/>
    </row>
    <row r="29" spans="1:19" ht="21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L29" s="6"/>
      <c r="M29" s="6"/>
    </row>
    <row r="30" spans="1:19" ht="21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L30" s="6"/>
      <c r="M30" s="6"/>
    </row>
    <row r="31" spans="1:19" ht="21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L31" s="6"/>
      <c r="M31" s="6"/>
    </row>
    <row r="32" spans="1:19" ht="21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L32" s="6"/>
      <c r="M32" s="6"/>
      <c r="N32" s="6"/>
      <c r="O32" s="6"/>
      <c r="P32" s="6"/>
      <c r="Q32" s="6"/>
      <c r="R32" s="6"/>
      <c r="S32" s="6"/>
    </row>
    <row r="33" spans="1:19" ht="21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L33" s="6"/>
      <c r="M33" s="6"/>
      <c r="N33" s="6"/>
      <c r="O33" s="6"/>
      <c r="P33" s="6"/>
      <c r="Q33" s="6"/>
      <c r="R33" s="6"/>
      <c r="S33" s="6"/>
    </row>
    <row r="34" spans="1:19" ht="10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L34" s="6"/>
      <c r="M34" s="6"/>
      <c r="N34" s="6"/>
      <c r="O34" s="6"/>
      <c r="P34" s="6"/>
      <c r="Q34" s="6"/>
      <c r="R34" s="6"/>
      <c r="S34" s="6"/>
    </row>
    <row r="35" spans="1:19" s="6" customFormat="1" ht="23">
      <c r="G35" s="49" t="s">
        <v>133</v>
      </c>
    </row>
    <row r="36" spans="1:19" s="6" customFormat="1"/>
    <row r="37" spans="1:19" s="6" customFormat="1"/>
    <row r="38" spans="1:19" s="6" customFormat="1"/>
    <row r="39" spans="1:19" s="6" customFormat="1"/>
    <row r="40" spans="1:19" s="6" customFormat="1"/>
    <row r="41" spans="1:19" s="6" customFormat="1"/>
    <row r="42" spans="1:19" s="6" customFormat="1"/>
    <row r="43" spans="1:19" s="6" customFormat="1"/>
    <row r="44" spans="1:19" s="6" customFormat="1"/>
    <row r="45" spans="1:19" s="6" customFormat="1"/>
    <row r="46" spans="1:19" s="6" customFormat="1"/>
    <row r="47" spans="1:19" s="6" customFormat="1"/>
    <row r="48" spans="1:19" s="6" customFormat="1"/>
    <row r="49" spans="8:8" s="6" customFormat="1"/>
    <row r="50" spans="8:8" s="6" customFormat="1"/>
    <row r="51" spans="8:8" s="6" customFormat="1"/>
    <row r="52" spans="8:8" s="6" customFormat="1"/>
    <row r="53" spans="8:8" s="6" customFormat="1"/>
    <row r="54" spans="8:8" s="6" customFormat="1"/>
    <row r="55" spans="8:8" s="6" customFormat="1"/>
    <row r="56" spans="8:8" s="6" customFormat="1"/>
    <row r="57" spans="8:8" s="6" customFormat="1"/>
    <row r="58" spans="8:8" s="6" customFormat="1"/>
    <row r="59" spans="8:8" s="6" customFormat="1" ht="10.25" customHeight="1"/>
    <row r="60" spans="8:8" s="6" customFormat="1" ht="23">
      <c r="H60" s="49" t="s">
        <v>134</v>
      </c>
    </row>
    <row r="61" spans="8:8" s="6" customFormat="1"/>
    <row r="62" spans="8:8" s="6" customFormat="1"/>
    <row r="63" spans="8:8" s="6" customFormat="1"/>
    <row r="64" spans="8:8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pans="7:7" s="6" customFormat="1"/>
    <row r="82" spans="7:7" s="6" customFormat="1"/>
    <row r="83" spans="7:7" s="6" customFormat="1"/>
    <row r="84" spans="7:7" s="6" customFormat="1" ht="10.25" customHeight="1"/>
    <row r="85" spans="7:7" s="6" customFormat="1" ht="23">
      <c r="G85" s="49" t="s">
        <v>135</v>
      </c>
    </row>
    <row r="86" spans="7:7" s="6" customFormat="1"/>
    <row r="87" spans="7:7" s="6" customFormat="1"/>
    <row r="88" spans="7:7" s="6" customFormat="1"/>
    <row r="89" spans="7:7" s="6" customFormat="1"/>
    <row r="90" spans="7:7" s="6" customFormat="1"/>
    <row r="91" spans="7:7" s="6" customFormat="1"/>
    <row r="92" spans="7:7" s="6" customFormat="1"/>
    <row r="93" spans="7:7" s="6" customFormat="1"/>
    <row r="94" spans="7:7" s="6" customFormat="1"/>
    <row r="95" spans="7:7" s="6" customFormat="1"/>
    <row r="96" spans="7:7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pans="13:19" s="6" customFormat="1"/>
    <row r="114" spans="13:19" s="6" customFormat="1"/>
    <row r="115" spans="13:19" s="6" customFormat="1"/>
    <row r="116" spans="13:19" s="6" customFormat="1"/>
    <row r="117" spans="13:19" ht="19">
      <c r="M117" s="6"/>
      <c r="N117" s="6"/>
      <c r="O117" s="6"/>
      <c r="P117" s="6"/>
      <c r="Q117" s="6"/>
      <c r="R117" s="6"/>
      <c r="S117" s="6"/>
    </row>
    <row r="118" spans="13:19" ht="19">
      <c r="M118" s="6"/>
      <c r="N118" s="6"/>
      <c r="O118" s="6"/>
      <c r="P118" s="6"/>
      <c r="Q118" s="6"/>
      <c r="R118" s="6"/>
      <c r="S118" s="6"/>
    </row>
    <row r="119" spans="13:19" ht="19">
      <c r="M119" s="6"/>
      <c r="N119" s="6"/>
      <c r="O119" s="6"/>
      <c r="P119" s="6"/>
      <c r="Q119" s="6"/>
      <c r="R119" s="6"/>
      <c r="S119" s="6"/>
    </row>
  </sheetData>
  <mergeCells count="3">
    <mergeCell ref="A1:K1"/>
    <mergeCell ref="M1:S1"/>
    <mergeCell ref="M2:N2"/>
  </mergeCells>
  <phoneticPr fontId="1" type="noConversion"/>
  <pageMargins left="0.25" right="0.25" top="0.75" bottom="0.75" header="0.3" footer="0.3"/>
  <pageSetup scale="75" orientation="landscape"/>
  <rowBreaks count="1" manualBreakCount="1">
    <brk id="111" max="16383" man="1"/>
  </rowBreaks>
  <drawing r:id="rId1"/>
  <extLst>
    <ext xmlns:mx="http://schemas.microsoft.com/office/mac/excel/2008/main" uri="{64002731-A6B0-56B0-2670-7721B7C09600}">
      <mx:PLV Mode="0" OnePage="0" WScale="7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showGridLines="0" showZeros="0" workbookViewId="0">
      <pane xSplit="3" topLeftCell="D1" activePane="topRight" state="frozenSplit"/>
      <selection activeCell="B3" sqref="B3"/>
      <selection pane="topRight" activeCell="E31" sqref="E31"/>
    </sheetView>
  </sheetViews>
  <sheetFormatPr baseColWidth="10" defaultColWidth="10.83203125" defaultRowHeight="15" x14ac:dyDescent="0"/>
  <cols>
    <col min="1" max="1" width="26.83203125" style="1" customWidth="1"/>
    <col min="2" max="2" width="12.83203125" style="1" customWidth="1"/>
    <col min="3" max="3" width="1" style="1" customWidth="1"/>
    <col min="4" max="33" width="11.83203125" style="1" customWidth="1"/>
    <col min="34" max="34" width="1" style="1" customWidth="1"/>
    <col min="35" max="35" width="12.83203125" style="1" customWidth="1"/>
    <col min="36" max="16384" width="10.83203125" style="1"/>
  </cols>
  <sheetData>
    <row r="1" spans="1:35">
      <c r="A1" s="31" t="s">
        <v>99</v>
      </c>
      <c r="B1" s="2">
        <f>D1-1</f>
        <v>2019</v>
      </c>
      <c r="C1" s="26"/>
      <c r="D1" s="2">
        <f>AnalysisYear</f>
        <v>2020</v>
      </c>
      <c r="E1" s="2">
        <f>D1+1</f>
        <v>2021</v>
      </c>
      <c r="F1" s="2">
        <f t="shared" ref="F1:AG1" si="0">E1+1</f>
        <v>2022</v>
      </c>
      <c r="G1" s="2">
        <f t="shared" si="0"/>
        <v>2023</v>
      </c>
      <c r="H1" s="2">
        <f t="shared" si="0"/>
        <v>2024</v>
      </c>
      <c r="I1" s="2">
        <f t="shared" si="0"/>
        <v>2025</v>
      </c>
      <c r="J1" s="2">
        <f t="shared" si="0"/>
        <v>2026</v>
      </c>
      <c r="K1" s="2">
        <f t="shared" si="0"/>
        <v>2027</v>
      </c>
      <c r="L1" s="2">
        <f t="shared" si="0"/>
        <v>2028</v>
      </c>
      <c r="M1" s="2">
        <f t="shared" si="0"/>
        <v>2029</v>
      </c>
      <c r="N1" s="2">
        <f t="shared" si="0"/>
        <v>2030</v>
      </c>
      <c r="O1" s="2">
        <f t="shared" si="0"/>
        <v>2031</v>
      </c>
      <c r="P1" s="2">
        <f t="shared" si="0"/>
        <v>2032</v>
      </c>
      <c r="Q1" s="2">
        <f t="shared" si="0"/>
        <v>2033</v>
      </c>
      <c r="R1" s="2">
        <f t="shared" si="0"/>
        <v>2034</v>
      </c>
      <c r="S1" s="2">
        <f t="shared" si="0"/>
        <v>2035</v>
      </c>
      <c r="T1" s="2">
        <f t="shared" si="0"/>
        <v>2036</v>
      </c>
      <c r="U1" s="2">
        <f t="shared" si="0"/>
        <v>2037</v>
      </c>
      <c r="V1" s="2">
        <f t="shared" si="0"/>
        <v>2038</v>
      </c>
      <c r="W1" s="2">
        <f t="shared" si="0"/>
        <v>2039</v>
      </c>
      <c r="X1" s="2">
        <f t="shared" si="0"/>
        <v>2040</v>
      </c>
      <c r="Y1" s="2">
        <f t="shared" si="0"/>
        <v>2041</v>
      </c>
      <c r="Z1" s="2">
        <f t="shared" si="0"/>
        <v>2042</v>
      </c>
      <c r="AA1" s="2">
        <f t="shared" si="0"/>
        <v>2043</v>
      </c>
      <c r="AB1" s="2">
        <f t="shared" si="0"/>
        <v>2044</v>
      </c>
      <c r="AC1" s="2">
        <f t="shared" si="0"/>
        <v>2045</v>
      </c>
      <c r="AD1" s="2">
        <f t="shared" si="0"/>
        <v>2046</v>
      </c>
      <c r="AE1" s="2">
        <f t="shared" si="0"/>
        <v>2047</v>
      </c>
      <c r="AF1" s="2">
        <f t="shared" si="0"/>
        <v>2048</v>
      </c>
      <c r="AG1" s="2">
        <f t="shared" si="0"/>
        <v>2049</v>
      </c>
      <c r="AH1" s="27"/>
    </row>
    <row r="2" spans="1:35">
      <c r="A2" s="31"/>
      <c r="C2" s="27"/>
      <c r="AH2" s="27"/>
    </row>
    <row r="3" spans="1:35">
      <c r="A3" s="16" t="s">
        <v>119</v>
      </c>
      <c r="B3" s="18">
        <f>Components!G193</f>
        <v>193238</v>
      </c>
      <c r="C3" s="27"/>
      <c r="D3" s="18">
        <f>Components!M193</f>
        <v>304394</v>
      </c>
      <c r="E3" s="18">
        <f>Components!N193</f>
        <v>145845</v>
      </c>
      <c r="F3" s="18">
        <f>Components!O193</f>
        <v>631634</v>
      </c>
      <c r="G3" s="18">
        <f>Components!P193</f>
        <v>302593</v>
      </c>
      <c r="H3" s="18">
        <f>Components!Q193</f>
        <v>475953</v>
      </c>
      <c r="I3" s="18">
        <f>Components!R193</f>
        <v>47427</v>
      </c>
      <c r="J3" s="18">
        <f>Components!S193</f>
        <v>124936</v>
      </c>
      <c r="K3" s="18">
        <f>Components!T193</f>
        <v>1623354</v>
      </c>
      <c r="L3" s="18">
        <f>Components!U193</f>
        <v>350396</v>
      </c>
      <c r="M3" s="18">
        <f>Components!V193</f>
        <v>147977</v>
      </c>
      <c r="N3" s="18">
        <f>Components!W193</f>
        <v>344573</v>
      </c>
      <c r="O3" s="18">
        <f>Components!X193</f>
        <v>443060</v>
      </c>
      <c r="P3" s="18">
        <f>Components!Y193</f>
        <v>1143854</v>
      </c>
      <c r="Q3" s="18">
        <f>Components!Z193</f>
        <v>279251</v>
      </c>
      <c r="R3" s="18">
        <f>Components!AA193</f>
        <v>232216</v>
      </c>
      <c r="S3" s="18">
        <f>Components!AB193</f>
        <v>516411</v>
      </c>
      <c r="T3" s="18">
        <f>Components!AC193</f>
        <v>1400280</v>
      </c>
      <c r="U3" s="18">
        <f>Components!AD193</f>
        <v>1136434</v>
      </c>
      <c r="V3" s="18">
        <f>Components!AE193</f>
        <v>636714</v>
      </c>
      <c r="W3" s="18">
        <f>Components!AF193</f>
        <v>827311</v>
      </c>
      <c r="X3" s="18">
        <f>Components!AG193</f>
        <v>544151</v>
      </c>
      <c r="Y3" s="18">
        <f>Components!AH193</f>
        <v>244477</v>
      </c>
      <c r="Z3" s="18">
        <f>Components!AI193</f>
        <v>3484671</v>
      </c>
      <c r="AA3" s="18">
        <f>Components!AJ193</f>
        <v>650782</v>
      </c>
      <c r="AB3" s="18">
        <f>Components!AK193</f>
        <v>963308</v>
      </c>
      <c r="AC3" s="18">
        <f>Components!AL193</f>
        <v>371409</v>
      </c>
      <c r="AD3" s="18">
        <f>Components!AM193</f>
        <v>446228</v>
      </c>
      <c r="AE3" s="18">
        <f>Components!AN193</f>
        <v>308540</v>
      </c>
      <c r="AF3" s="18">
        <f>Components!AO193</f>
        <v>1136901</v>
      </c>
      <c r="AG3" s="18">
        <f>Components!AP193</f>
        <v>336129</v>
      </c>
      <c r="AH3" s="27"/>
      <c r="AI3" s="18">
        <f>Components!AR193</f>
        <v>19601209.000999998</v>
      </c>
    </row>
    <row r="4" spans="1:35">
      <c r="A4" s="16" t="s">
        <v>104</v>
      </c>
      <c r="B4" s="30">
        <f>Components!G194</f>
        <v>0</v>
      </c>
      <c r="C4" s="27"/>
      <c r="D4" s="30">
        <f>Components!M194</f>
        <v>0</v>
      </c>
      <c r="E4" s="30">
        <f>Components!N194</f>
        <v>0</v>
      </c>
      <c r="F4" s="30">
        <f>Components!O194</f>
        <v>0</v>
      </c>
      <c r="G4" s="30">
        <f>Components!P194</f>
        <v>0</v>
      </c>
      <c r="H4" s="30">
        <f>Components!Q194</f>
        <v>0</v>
      </c>
      <c r="I4" s="30">
        <f>Components!R194</f>
        <v>0</v>
      </c>
      <c r="J4" s="30">
        <f>Components!S194</f>
        <v>0</v>
      </c>
      <c r="K4" s="30">
        <f>Components!T194</f>
        <v>0</v>
      </c>
      <c r="L4" s="30">
        <f>Components!U194</f>
        <v>0</v>
      </c>
      <c r="M4" s="30">
        <f>Components!V194</f>
        <v>0</v>
      </c>
      <c r="N4" s="30">
        <f>Components!W194</f>
        <v>0</v>
      </c>
      <c r="O4" s="30">
        <f>Components!X194</f>
        <v>0</v>
      </c>
      <c r="P4" s="30">
        <f>Components!Y194</f>
        <v>0</v>
      </c>
      <c r="Q4" s="30">
        <f>Components!Z194</f>
        <v>0</v>
      </c>
      <c r="R4" s="30">
        <f>Components!AA194</f>
        <v>0</v>
      </c>
      <c r="S4" s="30">
        <f>Components!AB194</f>
        <v>0</v>
      </c>
      <c r="T4" s="30">
        <f>Components!AC194</f>
        <v>0</v>
      </c>
      <c r="U4" s="30">
        <f>Components!AD194</f>
        <v>0</v>
      </c>
      <c r="V4" s="30">
        <f>Components!AE194</f>
        <v>0</v>
      </c>
      <c r="W4" s="30">
        <f>Components!AF194</f>
        <v>0</v>
      </c>
      <c r="X4" s="30">
        <f>Components!AG194</f>
        <v>0</v>
      </c>
      <c r="Y4" s="30">
        <f>Components!AH194</f>
        <v>0</v>
      </c>
      <c r="Z4" s="30">
        <f>Components!AI194</f>
        <v>0</v>
      </c>
      <c r="AA4" s="30">
        <f>Components!AJ194</f>
        <v>0</v>
      </c>
      <c r="AB4" s="30">
        <f>Components!AK194</f>
        <v>0</v>
      </c>
      <c r="AC4" s="30">
        <f>Components!AL194</f>
        <v>0</v>
      </c>
      <c r="AD4" s="30">
        <f>Components!AM194</f>
        <v>0</v>
      </c>
      <c r="AE4" s="30">
        <f>Components!AN194</f>
        <v>0</v>
      </c>
      <c r="AF4" s="30">
        <f>Components!AO194</f>
        <v>0</v>
      </c>
      <c r="AG4" s="30">
        <f>Components!AP194</f>
        <v>0</v>
      </c>
      <c r="AH4" s="27"/>
      <c r="AI4" s="30">
        <f>Components!AR194</f>
        <v>0</v>
      </c>
    </row>
    <row r="5" spans="1:35">
      <c r="A5" s="16" t="s">
        <v>248</v>
      </c>
      <c r="B5" s="30">
        <f>Components!G195</f>
        <v>0</v>
      </c>
      <c r="C5" s="27"/>
      <c r="D5" s="30">
        <f>Components!M195</f>
        <v>0</v>
      </c>
      <c r="E5" s="30">
        <f>Components!N195</f>
        <v>0</v>
      </c>
      <c r="F5" s="30">
        <f>Components!O195</f>
        <v>0</v>
      </c>
      <c r="G5" s="30">
        <f>Components!P195</f>
        <v>0</v>
      </c>
      <c r="H5" s="30">
        <f>Components!Q195</f>
        <v>0</v>
      </c>
      <c r="I5" s="30">
        <f>Components!R195</f>
        <v>0</v>
      </c>
      <c r="J5" s="30">
        <f>Components!S195</f>
        <v>0</v>
      </c>
      <c r="K5" s="30">
        <f>Components!T195</f>
        <v>0</v>
      </c>
      <c r="L5" s="30">
        <f>Components!U195</f>
        <v>0</v>
      </c>
      <c r="M5" s="30">
        <f>Components!V195</f>
        <v>0</v>
      </c>
      <c r="N5" s="30">
        <f>Components!W195</f>
        <v>0</v>
      </c>
      <c r="O5" s="30">
        <f>Components!X195</f>
        <v>0</v>
      </c>
      <c r="P5" s="30">
        <f>Components!Y195</f>
        <v>0</v>
      </c>
      <c r="Q5" s="30">
        <f>Components!Z195</f>
        <v>0</v>
      </c>
      <c r="R5" s="30">
        <f>Components!AA195</f>
        <v>0</v>
      </c>
      <c r="S5" s="30">
        <f>Components!AB195</f>
        <v>0</v>
      </c>
      <c r="T5" s="30">
        <f>Components!AC195</f>
        <v>0</v>
      </c>
      <c r="U5" s="30">
        <f>Components!AD195</f>
        <v>0</v>
      </c>
      <c r="V5" s="30">
        <f>Components!AE195</f>
        <v>0</v>
      </c>
      <c r="W5" s="30">
        <f>Components!AF195</f>
        <v>0</v>
      </c>
      <c r="X5" s="30">
        <f>Components!AG195</f>
        <v>0</v>
      </c>
      <c r="Y5" s="30">
        <f>Components!AH195</f>
        <v>0</v>
      </c>
      <c r="Z5" s="30">
        <f>Components!AI195</f>
        <v>-3416417</v>
      </c>
      <c r="AA5" s="30">
        <f>Components!AJ195</f>
        <v>0</v>
      </c>
      <c r="AB5" s="30">
        <f>Components!AK195</f>
        <v>0</v>
      </c>
      <c r="AC5" s="30">
        <f>Components!AL195</f>
        <v>0</v>
      </c>
      <c r="AD5" s="30">
        <f>Components!AM195</f>
        <v>0</v>
      </c>
      <c r="AE5" s="30">
        <f>Components!AN195</f>
        <v>0</v>
      </c>
      <c r="AF5" s="30">
        <f>Components!AO195</f>
        <v>0</v>
      </c>
      <c r="AG5" s="30">
        <f>Components!AP195</f>
        <v>0</v>
      </c>
      <c r="AH5" s="27"/>
      <c r="AI5" s="30">
        <f>Components!AR195</f>
        <v>-3416417</v>
      </c>
    </row>
    <row r="6" spans="1:35">
      <c r="A6" s="16" t="s">
        <v>247</v>
      </c>
      <c r="B6" s="18">
        <f>SUM(Components!G196:'Components'!G197)*0</f>
        <v>0</v>
      </c>
      <c r="C6" s="27"/>
      <c r="D6" s="30">
        <f>SUM(Components!M196:'Components'!M197)</f>
        <v>0</v>
      </c>
      <c r="E6" s="30">
        <f>SUM(Components!N196:'Components'!N197)</f>
        <v>0</v>
      </c>
      <c r="F6" s="30">
        <f>SUM(Components!O196:'Components'!O197)</f>
        <v>0</v>
      </c>
      <c r="G6" s="30">
        <f>SUM(Components!P196:'Components'!P197)</f>
        <v>0</v>
      </c>
      <c r="H6" s="30">
        <f>SUM(Components!Q196:'Components'!Q197)</f>
        <v>0</v>
      </c>
      <c r="I6" s="30">
        <f>SUM(Components!R196:'Components'!R197)</f>
        <v>-17210</v>
      </c>
      <c r="J6" s="30">
        <f>SUM(Components!S196:'Components'!S197)</f>
        <v>0</v>
      </c>
      <c r="K6" s="30">
        <f>SUM(Components!T196:'Components'!T197)</f>
        <v>0</v>
      </c>
      <c r="L6" s="30">
        <f>SUM(Components!U196:'Components'!U197)</f>
        <v>0</v>
      </c>
      <c r="M6" s="30">
        <f>SUM(Components!V196:'Components'!V197)</f>
        <v>0</v>
      </c>
      <c r="N6" s="30">
        <f>SUM(Components!W196:'Components'!W197)</f>
        <v>0</v>
      </c>
      <c r="O6" s="30">
        <f>SUM(Components!X196:'Components'!X197)</f>
        <v>0</v>
      </c>
      <c r="P6" s="30">
        <f>SUM(Components!Y196:'Components'!Y197)</f>
        <v>0</v>
      </c>
      <c r="Q6" s="30">
        <f>SUM(Components!Z196:'Components'!Z197)</f>
        <v>-37230</v>
      </c>
      <c r="R6" s="30">
        <f>SUM(Components!AA196:'Components'!AA197)</f>
        <v>0</v>
      </c>
      <c r="S6" s="30">
        <f>SUM(Components!AB196:'Components'!AB197)</f>
        <v>-52022</v>
      </c>
      <c r="T6" s="30">
        <f>SUM(Components!AC196:'Components'!AC197)</f>
        <v>-17947</v>
      </c>
      <c r="U6" s="30">
        <f>SUM(Components!AD196:'Components'!AD197)</f>
        <v>0</v>
      </c>
      <c r="V6" s="30">
        <f>SUM(Components!AE196:'Components'!AE197)</f>
        <v>0</v>
      </c>
      <c r="W6" s="30">
        <f>SUM(Components!AF196:'Components'!AF197)</f>
        <v>0</v>
      </c>
      <c r="X6" s="30">
        <f>SUM(Components!AG196:'Components'!AG197)</f>
        <v>0</v>
      </c>
      <c r="Y6" s="30">
        <f>SUM(Components!AH196:'Components'!AH197)</f>
        <v>-29841</v>
      </c>
      <c r="Z6" s="30">
        <f>SUM(Components!AI196:'Components'!AI197)</f>
        <v>0</v>
      </c>
      <c r="AA6" s="30">
        <f>SUM(Components!AJ196:'Components'!AJ197)</f>
        <v>0</v>
      </c>
      <c r="AB6" s="30">
        <f>SUM(Components!AK196:'Components'!AK197)</f>
        <v>-18733</v>
      </c>
      <c r="AC6" s="30">
        <f>SUM(Components!AL196:'Components'!AL197)</f>
        <v>0</v>
      </c>
      <c r="AD6" s="30">
        <f>SUM(Components!AM196:'Components'!AM197)</f>
        <v>0</v>
      </c>
      <c r="AE6" s="30">
        <f>SUM(Components!AN196:'Components'!AN197)</f>
        <v>0</v>
      </c>
      <c r="AF6" s="30">
        <f>SUM(Components!AO196:'Components'!AO197)</f>
        <v>0</v>
      </c>
      <c r="AG6" s="30">
        <f>SUM(Components!AP196:'Components'!AP197)</f>
        <v>-39295</v>
      </c>
      <c r="AH6" s="27"/>
      <c r="AI6" s="30">
        <f>SUM(Components!AR196:'Components'!AR197)</f>
        <v>-212278</v>
      </c>
    </row>
    <row r="7" spans="1:35">
      <c r="A7" s="24" t="s">
        <v>91</v>
      </c>
      <c r="B7" s="25">
        <f>SUM(B3:B6)</f>
        <v>193238</v>
      </c>
      <c r="C7" s="28"/>
      <c r="D7" s="25">
        <f>IF(B1=D1,B7,SUM(D3:D6))</f>
        <v>304394</v>
      </c>
      <c r="E7" s="25">
        <f t="shared" ref="E7:AG7" si="1">SUM(E3:E6)</f>
        <v>145845</v>
      </c>
      <c r="F7" s="25">
        <f t="shared" si="1"/>
        <v>631634</v>
      </c>
      <c r="G7" s="25">
        <f t="shared" si="1"/>
        <v>302593</v>
      </c>
      <c r="H7" s="25">
        <f t="shared" si="1"/>
        <v>475953</v>
      </c>
      <c r="I7" s="25">
        <f t="shared" si="1"/>
        <v>30217</v>
      </c>
      <c r="J7" s="25">
        <f t="shared" si="1"/>
        <v>124936</v>
      </c>
      <c r="K7" s="25">
        <f t="shared" si="1"/>
        <v>1623354</v>
      </c>
      <c r="L7" s="25">
        <f t="shared" si="1"/>
        <v>350396</v>
      </c>
      <c r="M7" s="25">
        <f t="shared" si="1"/>
        <v>147977</v>
      </c>
      <c r="N7" s="25">
        <f t="shared" si="1"/>
        <v>344573</v>
      </c>
      <c r="O7" s="25">
        <f t="shared" si="1"/>
        <v>443060</v>
      </c>
      <c r="P7" s="25">
        <f t="shared" si="1"/>
        <v>1143854</v>
      </c>
      <c r="Q7" s="25">
        <f t="shared" si="1"/>
        <v>242021</v>
      </c>
      <c r="R7" s="25">
        <f t="shared" si="1"/>
        <v>232216</v>
      </c>
      <c r="S7" s="25">
        <f t="shared" si="1"/>
        <v>464389</v>
      </c>
      <c r="T7" s="25">
        <f t="shared" si="1"/>
        <v>1382333</v>
      </c>
      <c r="U7" s="25">
        <f t="shared" si="1"/>
        <v>1136434</v>
      </c>
      <c r="V7" s="25">
        <f t="shared" si="1"/>
        <v>636714</v>
      </c>
      <c r="W7" s="25">
        <f t="shared" si="1"/>
        <v>827311</v>
      </c>
      <c r="X7" s="25">
        <f t="shared" si="1"/>
        <v>544151</v>
      </c>
      <c r="Y7" s="25">
        <f t="shared" si="1"/>
        <v>214636</v>
      </c>
      <c r="Z7" s="25">
        <f t="shared" si="1"/>
        <v>68254</v>
      </c>
      <c r="AA7" s="25">
        <f t="shared" si="1"/>
        <v>650782</v>
      </c>
      <c r="AB7" s="25">
        <f t="shared" si="1"/>
        <v>944575</v>
      </c>
      <c r="AC7" s="25">
        <f t="shared" si="1"/>
        <v>371409</v>
      </c>
      <c r="AD7" s="25">
        <f t="shared" si="1"/>
        <v>446228</v>
      </c>
      <c r="AE7" s="25">
        <f t="shared" si="1"/>
        <v>308540</v>
      </c>
      <c r="AF7" s="25">
        <f t="shared" si="1"/>
        <v>1136901</v>
      </c>
      <c r="AG7" s="25">
        <f t="shared" si="1"/>
        <v>296834</v>
      </c>
      <c r="AH7" s="28"/>
      <c r="AI7" s="25">
        <f>SUM(AI3:AI6)</f>
        <v>15972514.000999998</v>
      </c>
    </row>
    <row r="8" spans="1:35" ht="20" customHeight="1">
      <c r="A8" s="16" t="s">
        <v>172</v>
      </c>
      <c r="B8" s="11">
        <f>HGMD_Deposit</f>
        <v>219078</v>
      </c>
      <c r="C8" s="27"/>
      <c r="D8" s="11">
        <f>(HGMD_Deposit*(1+InflationRate)+IF(D1=StartYear,CapitalDepositReductionHGMD,0)-IF(D1=EndYear,CapitalDepositReductioHGMDn*((1+InflationRate)^(EndYear-StartYear)),0))</f>
        <v>370850.13</v>
      </c>
      <c r="E8" s="11">
        <f t="shared" ref="E8:AG8" si="2">(D8+IF(E1=StartYear,CapitalDepositReductionHGMD,0)-IF(E1=EndYear,CapitalDepositReductionHGMD*((1+InflationRate)^(EndYear-StartYear)),0))*(1+InflationRate)</f>
        <v>383829.88454999996</v>
      </c>
      <c r="F8" s="11">
        <f t="shared" si="2"/>
        <v>397263.93050924991</v>
      </c>
      <c r="G8" s="11">
        <f t="shared" si="2"/>
        <v>411168.16807707364</v>
      </c>
      <c r="H8" s="11">
        <f t="shared" si="2"/>
        <v>425559.05395977118</v>
      </c>
      <c r="I8" s="11">
        <f t="shared" si="2"/>
        <v>440453.62084836315</v>
      </c>
      <c r="J8" s="11">
        <f t="shared" si="2"/>
        <v>455869.49757805583</v>
      </c>
      <c r="K8" s="11">
        <f t="shared" si="2"/>
        <v>471824.92999328778</v>
      </c>
      <c r="L8" s="11">
        <f t="shared" si="2"/>
        <v>488338.80254305282</v>
      </c>
      <c r="M8" s="11">
        <f t="shared" si="2"/>
        <v>505430.66063205962</v>
      </c>
      <c r="N8" s="11">
        <f t="shared" si="2"/>
        <v>523120.73375418165</v>
      </c>
      <c r="O8" s="11">
        <f t="shared" si="2"/>
        <v>541429.95943557797</v>
      </c>
      <c r="P8" s="11">
        <f t="shared" si="2"/>
        <v>560380.0080158232</v>
      </c>
      <c r="Q8" s="11">
        <f t="shared" si="2"/>
        <v>579993.30829637696</v>
      </c>
      <c r="R8" s="11">
        <f t="shared" si="2"/>
        <v>600293.07408675016</v>
      </c>
      <c r="S8" s="11">
        <f t="shared" si="2"/>
        <v>621303.33167978632</v>
      </c>
      <c r="T8" s="11">
        <f t="shared" si="2"/>
        <v>643048.94828857877</v>
      </c>
      <c r="U8" s="11">
        <f t="shared" si="2"/>
        <v>665555.66147867893</v>
      </c>
      <c r="V8" s="11">
        <f t="shared" si="2"/>
        <v>688850.10963043268</v>
      </c>
      <c r="W8" s="11">
        <f t="shared" si="2"/>
        <v>712959.86346749775</v>
      </c>
      <c r="X8" s="11">
        <f t="shared" si="2"/>
        <v>737913.45868886006</v>
      </c>
      <c r="Y8" s="11">
        <f t="shared" si="2"/>
        <v>763740.42974297015</v>
      </c>
      <c r="Z8" s="11">
        <f t="shared" si="2"/>
        <v>790471.344783974</v>
      </c>
      <c r="AA8" s="11">
        <f t="shared" si="2"/>
        <v>818137.84185141302</v>
      </c>
      <c r="AB8" s="11">
        <f t="shared" si="2"/>
        <v>846772.66631621239</v>
      </c>
      <c r="AC8" s="11">
        <f t="shared" si="2"/>
        <v>876409.70963727974</v>
      </c>
      <c r="AD8" s="11">
        <f t="shared" si="2"/>
        <v>907084.0494745844</v>
      </c>
      <c r="AE8" s="11">
        <f t="shared" si="2"/>
        <v>938831.99120619474</v>
      </c>
      <c r="AF8" s="11">
        <f t="shared" si="2"/>
        <v>971691.11089841148</v>
      </c>
      <c r="AG8" s="11">
        <f t="shared" si="2"/>
        <v>1005700.2997798558</v>
      </c>
      <c r="AH8" s="27"/>
    </row>
    <row r="9" spans="1:35" ht="20" customHeight="1">
      <c r="A9" s="16" t="s">
        <v>98</v>
      </c>
      <c r="B9" s="30">
        <f>B8-B7</f>
        <v>25840</v>
      </c>
      <c r="C9" s="27"/>
      <c r="D9" s="23">
        <f t="shared" ref="D9:AG9" si="3">D8-D7</f>
        <v>66456.13</v>
      </c>
      <c r="E9" s="23">
        <f t="shared" si="3"/>
        <v>237984.88454999996</v>
      </c>
      <c r="F9" s="23">
        <f t="shared" si="3"/>
        <v>-234370.06949075009</v>
      </c>
      <c r="G9" s="23">
        <f t="shared" si="3"/>
        <v>108575.16807707364</v>
      </c>
      <c r="H9" s="23">
        <f t="shared" si="3"/>
        <v>-50393.946040228824</v>
      </c>
      <c r="I9" s="23">
        <f t="shared" si="3"/>
        <v>410236.62084836315</v>
      </c>
      <c r="J9" s="23">
        <f t="shared" si="3"/>
        <v>330933.49757805583</v>
      </c>
      <c r="K9" s="23">
        <f t="shared" si="3"/>
        <v>-1151529.0700067123</v>
      </c>
      <c r="L9" s="23">
        <f t="shared" si="3"/>
        <v>137942.80254305282</v>
      </c>
      <c r="M9" s="23">
        <f t="shared" si="3"/>
        <v>357453.66063205962</v>
      </c>
      <c r="N9" s="29">
        <f t="shared" si="3"/>
        <v>178547.73375418165</v>
      </c>
      <c r="O9" s="29">
        <f t="shared" si="3"/>
        <v>98369.95943557797</v>
      </c>
      <c r="P9" s="29">
        <f t="shared" si="3"/>
        <v>-583473.9919841768</v>
      </c>
      <c r="Q9" s="29">
        <f t="shared" si="3"/>
        <v>337972.30829637696</v>
      </c>
      <c r="R9" s="29">
        <f t="shared" si="3"/>
        <v>368077.07408675016</v>
      </c>
      <c r="S9" s="29">
        <f t="shared" si="3"/>
        <v>156914.33167978632</v>
      </c>
      <c r="T9" s="29">
        <f t="shared" si="3"/>
        <v>-739284.05171142123</v>
      </c>
      <c r="U9" s="29">
        <f t="shared" si="3"/>
        <v>-470878.33852132107</v>
      </c>
      <c r="V9" s="29">
        <f t="shared" si="3"/>
        <v>52136.109630432678</v>
      </c>
      <c r="W9" s="29">
        <f t="shared" si="3"/>
        <v>-114351.13653250225</v>
      </c>
      <c r="X9" s="29">
        <f t="shared" si="3"/>
        <v>193762.45868886006</v>
      </c>
      <c r="Y9" s="29">
        <f t="shared" si="3"/>
        <v>549104.42974297015</v>
      </c>
      <c r="Z9" s="29">
        <f t="shared" si="3"/>
        <v>722217.344783974</v>
      </c>
      <c r="AA9" s="29">
        <f t="shared" si="3"/>
        <v>167355.84185141302</v>
      </c>
      <c r="AB9" s="29">
        <f t="shared" si="3"/>
        <v>-97802.333683787612</v>
      </c>
      <c r="AC9" s="29">
        <f t="shared" si="3"/>
        <v>505000.70963727974</v>
      </c>
      <c r="AD9" s="29">
        <f t="shared" si="3"/>
        <v>460856.0494745844</v>
      </c>
      <c r="AE9" s="29">
        <f t="shared" si="3"/>
        <v>630291.99120619474</v>
      </c>
      <c r="AF9" s="29">
        <f t="shared" si="3"/>
        <v>-165209.88910158852</v>
      </c>
      <c r="AG9" s="29">
        <f t="shared" si="3"/>
        <v>708866.29977985576</v>
      </c>
      <c r="AH9" s="27"/>
    </row>
    <row r="10" spans="1:35" ht="20" customHeight="1">
      <c r="A10" s="16" t="s">
        <v>136</v>
      </c>
      <c r="B10" s="50">
        <f>EarningsRateBase</f>
        <v>1.4999999999999999E-2</v>
      </c>
      <c r="C10" s="27"/>
      <c r="D10" s="50">
        <f>( IF(E7&gt;B13/EarningsRateSplit,B13, E7*EarningsRateSplit)*EarningsRateBase + IF(B13&gt;(E7*EarningsRateSplit),(B13-(E7*EarningsRateSplit)),0)*EarningsRateHigh  )/B13</f>
        <v>1.4999999999999999E-2</v>
      </c>
      <c r="E10" s="50">
        <f t="shared" ref="E10:AG10" si="4">( IF(F7&gt;D13/EarningsRateSplit,D13, F7*EarningsRateSplit)*EarningsRateBase + IF(D13&gt;(F7*EarningsRateSplit),(D13-(F7*EarningsRateSplit)),0)*EarningsRateHigh  )/D13</f>
        <v>1.5000000000000001E-2</v>
      </c>
      <c r="F10" s="50">
        <f t="shared" si="4"/>
        <v>1.4999999999999999E-2</v>
      </c>
      <c r="G10" s="50">
        <f t="shared" si="4"/>
        <v>1.4999999999999999E-2</v>
      </c>
      <c r="H10" s="50">
        <f t="shared" si="4"/>
        <v>2.3656880229373387E-2</v>
      </c>
      <c r="I10" s="50">
        <f t="shared" si="4"/>
        <v>1.4999999999999999E-2</v>
      </c>
      <c r="J10" s="50">
        <f t="shared" si="4"/>
        <v>1.4999999999999999E-2</v>
      </c>
      <c r="K10" s="50">
        <f t="shared" si="4"/>
        <v>1.9714418014089234E-2</v>
      </c>
      <c r="L10" s="50">
        <f t="shared" si="4"/>
        <v>1.4999999999999999E-2</v>
      </c>
      <c r="M10" s="50">
        <f t="shared" si="4"/>
        <v>1.5000000000000001E-2</v>
      </c>
      <c r="N10" s="50">
        <f t="shared" si="4"/>
        <v>1.4999999999999999E-2</v>
      </c>
      <c r="O10" s="50">
        <f t="shared" si="4"/>
        <v>1.4999999999999999E-2</v>
      </c>
      <c r="P10" s="50">
        <f t="shared" si="4"/>
        <v>1.899318681683768E-2</v>
      </c>
      <c r="Q10" s="50">
        <f t="shared" si="4"/>
        <v>1.4999999999999999E-2</v>
      </c>
      <c r="R10" s="50">
        <f t="shared" si="4"/>
        <v>1.4999999999999998E-2</v>
      </c>
      <c r="S10" s="50">
        <f t="shared" si="4"/>
        <v>1.5000000000000001E-2</v>
      </c>
      <c r="T10" s="50">
        <f t="shared" si="4"/>
        <v>1.4999999999999999E-2</v>
      </c>
      <c r="U10" s="50">
        <f t="shared" si="4"/>
        <v>1.4999999999999999E-2</v>
      </c>
      <c r="V10" s="50">
        <f t="shared" si="4"/>
        <v>1.4999999999999999E-2</v>
      </c>
      <c r="W10" s="50">
        <f t="shared" si="4"/>
        <v>1.4999999999999999E-2</v>
      </c>
      <c r="X10" s="50">
        <f t="shared" si="4"/>
        <v>1.4999999999999999E-2</v>
      </c>
      <c r="Y10" s="50">
        <f t="shared" si="4"/>
        <v>1.4999999999999999E-2</v>
      </c>
      <c r="Z10" s="50">
        <f t="shared" si="4"/>
        <v>1.4999999999999999E-2</v>
      </c>
      <c r="AA10" s="50">
        <f t="shared" si="4"/>
        <v>1.4999999999999999E-2</v>
      </c>
      <c r="AB10" s="50">
        <f t="shared" si="4"/>
        <v>2.1186382166411704E-2</v>
      </c>
      <c r="AC10" s="50">
        <f t="shared" si="4"/>
        <v>1.9875984099926185E-2</v>
      </c>
      <c r="AD10" s="50">
        <f t="shared" si="4"/>
        <v>2.3059272908796637E-2</v>
      </c>
      <c r="AE10" s="50">
        <f t="shared" si="4"/>
        <v>1.7595300005144289E-2</v>
      </c>
      <c r="AF10" s="50">
        <f t="shared" si="4"/>
        <v>2.4311997788482829E-2</v>
      </c>
      <c r="AG10" s="50">
        <f t="shared" si="4"/>
        <v>2.5999999999999995E-2</v>
      </c>
      <c r="AH10" s="27"/>
    </row>
    <row r="11" spans="1:35" ht="15" customHeight="1">
      <c r="A11" s="16" t="s">
        <v>137</v>
      </c>
      <c r="B11" s="14">
        <f>HGMD_Balance*B10</f>
        <v>0</v>
      </c>
      <c r="C11" s="27"/>
      <c r="D11" s="11">
        <f>IF(B13&gt;0,B13*D10,0)</f>
        <v>387.59999999999997</v>
      </c>
      <c r="E11" s="11">
        <f>IF(D13&gt;0,D13*E10,0)</f>
        <v>1390.2559500000002</v>
      </c>
      <c r="F11" s="11">
        <f t="shared" ref="F11:S11" si="5">IF(E13&gt;0,E13*F10,0)</f>
        <v>4980.8830574999993</v>
      </c>
      <c r="G11" s="11">
        <f t="shared" si="5"/>
        <v>1540.045261001248</v>
      </c>
      <c r="H11" s="11">
        <f t="shared" si="5"/>
        <v>5033.826832525443</v>
      </c>
      <c r="I11" s="11">
        <f t="shared" si="5"/>
        <v>2511.37167295682</v>
      </c>
      <c r="J11" s="11">
        <f t="shared" si="5"/>
        <v>8702.5915607766201</v>
      </c>
      <c r="K11" s="11">
        <f t="shared" si="5"/>
        <v>18133.496356289117</v>
      </c>
      <c r="L11" s="11">
        <f t="shared" si="5"/>
        <v>0</v>
      </c>
      <c r="M11" s="11">
        <f t="shared" si="5"/>
        <v>0</v>
      </c>
      <c r="N11" s="11">
        <f t="shared" si="5"/>
        <v>4227.1462407294466</v>
      </c>
      <c r="O11" s="11">
        <f t="shared" si="5"/>
        <v>6968.7694406531127</v>
      </c>
      <c r="P11" s="11">
        <f t="shared" si="5"/>
        <v>10824.660814580739</v>
      </c>
      <c r="Q11" s="11">
        <f t="shared" si="5"/>
        <v>0</v>
      </c>
      <c r="R11" s="11">
        <f t="shared" si="5"/>
        <v>5028.6950306982926</v>
      </c>
      <c r="S11" s="11">
        <f t="shared" si="5"/>
        <v>10625.281567460021</v>
      </c>
      <c r="T11" s="11">
        <f t="shared" ref="T11" si="6">IF(S13&gt;0,S13*T10,0)</f>
        <v>13138.375766168716</v>
      </c>
      <c r="U11" s="11">
        <f t="shared" ref="U11" si="7">IF(T13&gt;0,T13*U10,0)</f>
        <v>2246.1906269899282</v>
      </c>
      <c r="V11" s="11">
        <f t="shared" ref="V11" si="8">IF(U13&gt;0,U13*V10,0)</f>
        <v>0</v>
      </c>
      <c r="W11" s="11">
        <f t="shared" ref="W11" si="9">IF(V13&gt;0,V13*W10,0)</f>
        <v>0</v>
      </c>
      <c r="X11" s="11">
        <f t="shared" ref="X11" si="10">IF(W13&gt;0,W13*X10,0)</f>
        <v>0</v>
      </c>
      <c r="Y11" s="11">
        <f t="shared" ref="Y11" si="11">IF(X13&gt;0,X13*Y10,0)</f>
        <v>0</v>
      </c>
      <c r="Z11" s="11">
        <f t="shared" ref="Z11" si="12">IF(Y13&gt;0,Y13*Z10,0)</f>
        <v>5426.4863315213688</v>
      </c>
      <c r="AA11" s="11">
        <f t="shared" ref="AA11" si="13">IF(Z13&gt;0,Z13*AA10,0)</f>
        <v>16341.143798253797</v>
      </c>
      <c r="AB11" s="11">
        <f t="shared" ref="AB11" si="14">IF(AA13&gt;0,AA13*AB10,0)</f>
        <v>26972.522377197918</v>
      </c>
      <c r="AC11" s="11">
        <f t="shared" ref="AC11" si="15">IF(AB13&gt;0,AB13*AC10,0)</f>
        <v>23896.433783226588</v>
      </c>
      <c r="AD11" s="11">
        <f t="shared" ref="AD11" si="16">IF(AC13&gt;0,AC13*AD10,0)</f>
        <v>39919.611512159754</v>
      </c>
      <c r="AE11" s="11">
        <f t="shared" ref="AE11" si="17">IF(AD13&gt;0,AD13*AE10,0)</f>
        <v>39271.822197815105</v>
      </c>
      <c r="AF11" s="11">
        <f t="shared" ref="AF11" si="18">IF(AE13&gt;0,AE13*AF10,0)</f>
        <v>70541.586846319347</v>
      </c>
      <c r="AG11" s="11">
        <f t="shared" ref="AG11" si="19">IF(AF13&gt;0,AF13*AG10,0)</f>
        <v>72977.971987682351</v>
      </c>
      <c r="AH11" s="27"/>
    </row>
    <row r="12" spans="1:35" ht="20" customHeight="1">
      <c r="A12" s="16" t="s">
        <v>138</v>
      </c>
      <c r="B12" s="11"/>
      <c r="C12" s="27"/>
      <c r="D12" s="11">
        <f>InsuranceUse*InsuranceNet</f>
        <v>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27"/>
    </row>
    <row r="13" spans="1:35" ht="20" customHeight="1">
      <c r="A13" s="19" t="s">
        <v>92</v>
      </c>
      <c r="B13" s="23">
        <f>HGMD_Balance-B7+B8+B11+B12</f>
        <v>25840</v>
      </c>
      <c r="C13" s="27"/>
      <c r="D13" s="23">
        <f>B13-D7+D8+D11+D12</f>
        <v>92683.73000000001</v>
      </c>
      <c r="E13" s="23">
        <f>D13-E7+E8+E11+E12</f>
        <v>332058.87049999996</v>
      </c>
      <c r="F13" s="23">
        <f t="shared" ref="F13:AG13" si="20">E13-F7+F8+F11+F12</f>
        <v>102669.68406674988</v>
      </c>
      <c r="G13" s="23">
        <f t="shared" si="20"/>
        <v>212784.89740482476</v>
      </c>
      <c r="H13" s="23">
        <f t="shared" si="20"/>
        <v>167424.77819712134</v>
      </c>
      <c r="I13" s="23">
        <f t="shared" si="20"/>
        <v>580172.77071844134</v>
      </c>
      <c r="J13" s="23">
        <f t="shared" si="20"/>
        <v>919808.85985727375</v>
      </c>
      <c r="K13" s="23">
        <f t="shared" si="20"/>
        <v>-213586.71379314936</v>
      </c>
      <c r="L13" s="23">
        <f t="shared" si="20"/>
        <v>-75643.911250096513</v>
      </c>
      <c r="M13" s="23">
        <f t="shared" si="20"/>
        <v>281809.74938196311</v>
      </c>
      <c r="N13" s="23">
        <f t="shared" si="20"/>
        <v>464584.62937687419</v>
      </c>
      <c r="O13" s="23">
        <f t="shared" si="20"/>
        <v>569923.35825310531</v>
      </c>
      <c r="P13" s="23">
        <f t="shared" si="20"/>
        <v>-2725.9729164907494</v>
      </c>
      <c r="Q13" s="23">
        <f t="shared" si="20"/>
        <v>335246.33537988621</v>
      </c>
      <c r="R13" s="23">
        <f t="shared" si="20"/>
        <v>708352.10449733469</v>
      </c>
      <c r="S13" s="23">
        <f t="shared" si="20"/>
        <v>875891.71774458105</v>
      </c>
      <c r="T13" s="23">
        <f t="shared" si="20"/>
        <v>149746.04179932855</v>
      </c>
      <c r="U13" s="23">
        <f t="shared" si="20"/>
        <v>-318886.10609500261</v>
      </c>
      <c r="V13" s="23">
        <f t="shared" si="20"/>
        <v>-266749.99646456994</v>
      </c>
      <c r="W13" s="23">
        <f t="shared" si="20"/>
        <v>-381101.1329970723</v>
      </c>
      <c r="X13" s="23">
        <f t="shared" si="20"/>
        <v>-187338.67430821224</v>
      </c>
      <c r="Y13" s="23">
        <f t="shared" si="20"/>
        <v>361765.75543475791</v>
      </c>
      <c r="Z13" s="23">
        <f t="shared" si="20"/>
        <v>1089409.5865502532</v>
      </c>
      <c r="AA13" s="23">
        <f t="shared" si="20"/>
        <v>1273106.57219992</v>
      </c>
      <c r="AB13" s="23">
        <f t="shared" si="20"/>
        <v>1202276.7608933302</v>
      </c>
      <c r="AC13" s="23">
        <f t="shared" si="20"/>
        <v>1731173.9043138367</v>
      </c>
      <c r="AD13" s="23">
        <f t="shared" si="20"/>
        <v>2231949.565300581</v>
      </c>
      <c r="AE13" s="23">
        <f t="shared" si="20"/>
        <v>2901513.3787045907</v>
      </c>
      <c r="AF13" s="23">
        <f t="shared" si="20"/>
        <v>2806845.0764493216</v>
      </c>
      <c r="AG13" s="23">
        <f t="shared" si="20"/>
        <v>3588689.3482168596</v>
      </c>
      <c r="AH13" s="27"/>
    </row>
    <row r="14" spans="1:35" s="211" customFormat="1" ht="15" customHeight="1">
      <c r="A14" s="16" t="s">
        <v>441</v>
      </c>
      <c r="B14" s="23"/>
      <c r="C14" s="27"/>
      <c r="D14" s="215" t="str">
        <f>IF(D13&lt;0,D13,"")</f>
        <v/>
      </c>
      <c r="E14" s="215" t="str">
        <f t="shared" ref="E14:AG14" si="21">IF(E13&lt;0,E13,"")</f>
        <v/>
      </c>
      <c r="F14" s="215" t="str">
        <f t="shared" si="21"/>
        <v/>
      </c>
      <c r="G14" s="215" t="str">
        <f t="shared" si="21"/>
        <v/>
      </c>
      <c r="H14" s="215" t="str">
        <f t="shared" si="21"/>
        <v/>
      </c>
      <c r="I14" s="215" t="str">
        <f t="shared" si="21"/>
        <v/>
      </c>
      <c r="J14" s="215" t="str">
        <f t="shared" si="21"/>
        <v/>
      </c>
      <c r="K14" s="215">
        <f t="shared" si="21"/>
        <v>-213586.71379314936</v>
      </c>
      <c r="L14" s="215">
        <f t="shared" si="21"/>
        <v>-75643.911250096513</v>
      </c>
      <c r="M14" s="215" t="str">
        <f t="shared" si="21"/>
        <v/>
      </c>
      <c r="N14" s="215" t="str">
        <f t="shared" si="21"/>
        <v/>
      </c>
      <c r="O14" s="215" t="str">
        <f t="shared" si="21"/>
        <v/>
      </c>
      <c r="P14" s="215">
        <f t="shared" si="21"/>
        <v>-2725.9729164907494</v>
      </c>
      <c r="Q14" s="215" t="str">
        <f t="shared" si="21"/>
        <v/>
      </c>
      <c r="R14" s="215" t="str">
        <f t="shared" si="21"/>
        <v/>
      </c>
      <c r="S14" s="215" t="str">
        <f t="shared" si="21"/>
        <v/>
      </c>
      <c r="T14" s="215" t="str">
        <f t="shared" si="21"/>
        <v/>
      </c>
      <c r="U14" s="215">
        <f t="shared" si="21"/>
        <v>-318886.10609500261</v>
      </c>
      <c r="V14" s="215">
        <f t="shared" si="21"/>
        <v>-266749.99646456994</v>
      </c>
      <c r="W14" s="215">
        <f t="shared" si="21"/>
        <v>-381101.1329970723</v>
      </c>
      <c r="X14" s="215">
        <f t="shared" si="21"/>
        <v>-187338.67430821224</v>
      </c>
      <c r="Y14" s="215" t="str">
        <f t="shared" si="21"/>
        <v/>
      </c>
      <c r="Z14" s="215" t="str">
        <f t="shared" si="21"/>
        <v/>
      </c>
      <c r="AA14" s="215" t="str">
        <f t="shared" si="21"/>
        <v/>
      </c>
      <c r="AB14" s="215" t="str">
        <f t="shared" si="21"/>
        <v/>
      </c>
      <c r="AC14" s="215" t="str">
        <f t="shared" si="21"/>
        <v/>
      </c>
      <c r="AD14" s="215" t="str">
        <f t="shared" si="21"/>
        <v/>
      </c>
      <c r="AE14" s="215" t="str">
        <f t="shared" si="21"/>
        <v/>
      </c>
      <c r="AF14" s="215" t="str">
        <f t="shared" si="21"/>
        <v/>
      </c>
      <c r="AG14" s="215" t="str">
        <f t="shared" si="21"/>
        <v/>
      </c>
      <c r="AH14" s="27"/>
    </row>
    <row r="15" spans="1:35" s="211" customFormat="1" ht="15" customHeight="1">
      <c r="A15" s="16" t="s">
        <v>442</v>
      </c>
      <c r="B15" s="23"/>
      <c r="C15" s="27"/>
      <c r="D15" s="215">
        <f>IF((D13-250000)&lt;0,D13,"")</f>
        <v>92683.73000000001</v>
      </c>
      <c r="E15" s="215" t="str">
        <f t="shared" ref="E15:AG15" si="22">IF((E13-250000)&lt;0,E13,"")</f>
        <v/>
      </c>
      <c r="F15" s="215">
        <f t="shared" si="22"/>
        <v>102669.68406674988</v>
      </c>
      <c r="G15" s="215">
        <f t="shared" si="22"/>
        <v>212784.89740482476</v>
      </c>
      <c r="H15" s="215">
        <f t="shared" si="22"/>
        <v>167424.77819712134</v>
      </c>
      <c r="I15" s="215" t="str">
        <f t="shared" si="22"/>
        <v/>
      </c>
      <c r="J15" s="215" t="str">
        <f t="shared" si="22"/>
        <v/>
      </c>
      <c r="K15" s="215">
        <f t="shared" si="22"/>
        <v>-213586.71379314936</v>
      </c>
      <c r="L15" s="215">
        <f t="shared" si="22"/>
        <v>-75643.911250096513</v>
      </c>
      <c r="M15" s="215" t="str">
        <f t="shared" si="22"/>
        <v/>
      </c>
      <c r="N15" s="215" t="str">
        <f t="shared" si="22"/>
        <v/>
      </c>
      <c r="O15" s="215" t="str">
        <f t="shared" si="22"/>
        <v/>
      </c>
      <c r="P15" s="215">
        <f t="shared" si="22"/>
        <v>-2725.9729164907494</v>
      </c>
      <c r="Q15" s="215" t="str">
        <f t="shared" si="22"/>
        <v/>
      </c>
      <c r="R15" s="215" t="str">
        <f t="shared" si="22"/>
        <v/>
      </c>
      <c r="S15" s="215" t="str">
        <f t="shared" si="22"/>
        <v/>
      </c>
      <c r="T15" s="215">
        <f t="shared" si="22"/>
        <v>149746.04179932855</v>
      </c>
      <c r="U15" s="215">
        <f t="shared" si="22"/>
        <v>-318886.10609500261</v>
      </c>
      <c r="V15" s="215">
        <f t="shared" si="22"/>
        <v>-266749.99646456994</v>
      </c>
      <c r="W15" s="215">
        <f t="shared" si="22"/>
        <v>-381101.1329970723</v>
      </c>
      <c r="X15" s="215">
        <f t="shared" si="22"/>
        <v>-187338.67430821224</v>
      </c>
      <c r="Y15" s="215" t="str">
        <f t="shared" si="22"/>
        <v/>
      </c>
      <c r="Z15" s="215" t="str">
        <f t="shared" si="22"/>
        <v/>
      </c>
      <c r="AA15" s="215" t="str">
        <f t="shared" si="22"/>
        <v/>
      </c>
      <c r="AB15" s="215" t="str">
        <f t="shared" si="22"/>
        <v/>
      </c>
      <c r="AC15" s="215" t="str">
        <f t="shared" si="22"/>
        <v/>
      </c>
      <c r="AD15" s="215" t="str">
        <f t="shared" si="22"/>
        <v/>
      </c>
      <c r="AE15" s="215" t="str">
        <f t="shared" si="22"/>
        <v/>
      </c>
      <c r="AF15" s="215" t="str">
        <f t="shared" si="22"/>
        <v/>
      </c>
      <c r="AG15" s="215" t="str">
        <f t="shared" si="22"/>
        <v/>
      </c>
      <c r="AH15" s="27"/>
    </row>
    <row r="16" spans="1:35" s="211" customFormat="1" ht="15" customHeight="1">
      <c r="A16" s="16" t="s">
        <v>443</v>
      </c>
      <c r="B16" s="23"/>
      <c r="C16" s="27"/>
      <c r="D16" s="11">
        <f>IF((D13-500000)&lt;0,D13,"")</f>
        <v>92683.73000000001</v>
      </c>
      <c r="E16" s="11">
        <f t="shared" ref="E16:AG16" si="23">IF((E13-500000)&lt;0,E13,"")</f>
        <v>332058.87049999996</v>
      </c>
      <c r="F16" s="11">
        <f t="shared" si="23"/>
        <v>102669.68406674988</v>
      </c>
      <c r="G16" s="11">
        <f t="shared" si="23"/>
        <v>212784.89740482476</v>
      </c>
      <c r="H16" s="11">
        <f t="shared" si="23"/>
        <v>167424.77819712134</v>
      </c>
      <c r="I16" s="11" t="str">
        <f t="shared" si="23"/>
        <v/>
      </c>
      <c r="J16" s="11" t="str">
        <f t="shared" si="23"/>
        <v/>
      </c>
      <c r="K16" s="11">
        <f t="shared" si="23"/>
        <v>-213586.71379314936</v>
      </c>
      <c r="L16" s="11">
        <f t="shared" si="23"/>
        <v>-75643.911250096513</v>
      </c>
      <c r="M16" s="11">
        <f t="shared" si="23"/>
        <v>281809.74938196311</v>
      </c>
      <c r="N16" s="11">
        <f t="shared" si="23"/>
        <v>464584.62937687419</v>
      </c>
      <c r="O16" s="11" t="str">
        <f t="shared" si="23"/>
        <v/>
      </c>
      <c r="P16" s="11">
        <f t="shared" si="23"/>
        <v>-2725.9729164907494</v>
      </c>
      <c r="Q16" s="11">
        <f t="shared" si="23"/>
        <v>335246.33537988621</v>
      </c>
      <c r="R16" s="11" t="str">
        <f t="shared" si="23"/>
        <v/>
      </c>
      <c r="S16" s="11" t="str">
        <f t="shared" si="23"/>
        <v/>
      </c>
      <c r="T16" s="11">
        <f t="shared" si="23"/>
        <v>149746.04179932855</v>
      </c>
      <c r="U16" s="11">
        <f t="shared" si="23"/>
        <v>-318886.10609500261</v>
      </c>
      <c r="V16" s="11">
        <f t="shared" si="23"/>
        <v>-266749.99646456994</v>
      </c>
      <c r="W16" s="11">
        <f t="shared" si="23"/>
        <v>-381101.1329970723</v>
      </c>
      <c r="X16" s="11">
        <f t="shared" si="23"/>
        <v>-187338.67430821224</v>
      </c>
      <c r="Y16" s="11">
        <f t="shared" si="23"/>
        <v>361765.75543475791</v>
      </c>
      <c r="Z16" s="11" t="str">
        <f t="shared" si="23"/>
        <v/>
      </c>
      <c r="AA16" s="11" t="str">
        <f t="shared" si="23"/>
        <v/>
      </c>
      <c r="AB16" s="11" t="str">
        <f t="shared" si="23"/>
        <v/>
      </c>
      <c r="AC16" s="11" t="str">
        <f t="shared" si="23"/>
        <v/>
      </c>
      <c r="AD16" s="11" t="str">
        <f t="shared" si="23"/>
        <v/>
      </c>
      <c r="AE16" s="11" t="str">
        <f t="shared" si="23"/>
        <v/>
      </c>
      <c r="AF16" s="11" t="str">
        <f t="shared" si="23"/>
        <v/>
      </c>
      <c r="AG16" s="11" t="str">
        <f t="shared" si="23"/>
        <v/>
      </c>
      <c r="AH16" s="27"/>
    </row>
    <row r="17" spans="1:38">
      <c r="A17" s="16"/>
      <c r="C17" s="27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27"/>
      <c r="AI17" s="11"/>
    </row>
    <row r="18" spans="1:38">
      <c r="A18" s="16" t="s">
        <v>139</v>
      </c>
      <c r="B18" s="11">
        <f>'FF Balance'!K195</f>
        <v>4295638.8967208331</v>
      </c>
      <c r="C18" s="27"/>
      <c r="D18" s="11">
        <f>'FF Balance'!L195</f>
        <v>4540190.1268827934</v>
      </c>
      <c r="E18" s="11">
        <f>'FF Balance'!M195</f>
        <v>4957339.4529672628</v>
      </c>
      <c r="F18" s="11">
        <f>'FF Balance'!N195</f>
        <v>4913009.6805438837</v>
      </c>
      <c r="G18" s="11">
        <f>'FF Balance'!O195</f>
        <v>5216261.0969951786</v>
      </c>
      <c r="H18" s="11">
        <f>'FF Balance'!P195</f>
        <v>5369008.6957606561</v>
      </c>
      <c r="I18" s="11">
        <f>'FF Balance'!Q195</f>
        <v>5964200.356723533</v>
      </c>
      <c r="J18" s="11">
        <f>'FF Balance'!R195</f>
        <v>6497379.8820042508</v>
      </c>
      <c r="K18" s="11">
        <f>'FF Balance'!S195</f>
        <v>5576753.6498235241</v>
      </c>
      <c r="L18" s="11">
        <f>'FF Balance'!T195</f>
        <v>5949558.5763535472</v>
      </c>
      <c r="M18" s="11">
        <f>'FF Balance'!U195</f>
        <v>6542340.771614342</v>
      </c>
      <c r="N18" s="11">
        <f>'FF Balance'!V195</f>
        <v>6959998.6971903741</v>
      </c>
      <c r="O18" s="11">
        <f>'FF Balance'!W195</f>
        <v>7303159.5710704755</v>
      </c>
      <c r="P18" s="11">
        <f>'FF Balance'!X195</f>
        <v>6982402.5980313038</v>
      </c>
      <c r="Q18" s="11">
        <f>'FF Balance'!Y195</f>
        <v>7548261.7783813886</v>
      </c>
      <c r="R18" s="11">
        <f>'FF Balance'!Z195</f>
        <v>8182776.9593769889</v>
      </c>
      <c r="S18" s="11">
        <f>'FF Balance'!AA195</f>
        <v>8563146.5769410729</v>
      </c>
      <c r="T18" s="11">
        <f>'FF Balance'!AB195</f>
        <v>8105821.1285007028</v>
      </c>
      <c r="U18" s="11">
        <f>'FF Balance'!AC195</f>
        <v>7956985.1993203042</v>
      </c>
      <c r="V18" s="11">
        <f>'FF Balance'!AD195</f>
        <v>8342001.0957419556</v>
      </c>
      <c r="W18" s="11">
        <f>'FF Balance'!AE195</f>
        <v>8575583.3745711483</v>
      </c>
      <c r="X18" s="11">
        <f>'FF Balance'!AF195</f>
        <v>9124818.8094990328</v>
      </c>
      <c r="Y18" s="11">
        <f>'FF Balance'!AG195</f>
        <v>10001801.674126683</v>
      </c>
      <c r="Z18" s="11">
        <f>'FF Balance'!AH195</f>
        <v>7726208.1784094749</v>
      </c>
      <c r="AA18" s="11">
        <f>'FF Balance'!AI195</f>
        <v>8322444.7634091442</v>
      </c>
      <c r="AB18" s="11">
        <f>'FF Balance'!AJ195</f>
        <v>8651909.4760097861</v>
      </c>
      <c r="AC18" s="11">
        <f>'FF Balance'!AK195</f>
        <v>9606785.4739978462</v>
      </c>
      <c r="AD18" s="11">
        <f>'FF Balance'!AL195</f>
        <v>10522945.597111026</v>
      </c>
      <c r="AE18" s="11">
        <f>'FF Balance'!AM195</f>
        <v>11611977.900337299</v>
      </c>
      <c r="AF18" s="11">
        <f>'FF Balance'!AN195</f>
        <v>11920645.079108547</v>
      </c>
      <c r="AG18" s="11">
        <f>'FF Balance'!AO195</f>
        <v>13066334.653536312</v>
      </c>
      <c r="AH18" s="27"/>
    </row>
    <row r="19" spans="1:38">
      <c r="A19" s="16" t="s">
        <v>140</v>
      </c>
      <c r="B19" s="11">
        <f>B18*TargetFFBalance</f>
        <v>2577383.3380324999</v>
      </c>
      <c r="C19" s="27"/>
      <c r="D19" s="11">
        <f t="shared" ref="D19:AG19" si="24">D18*TargetFFBalance</f>
        <v>2724114.0761296758</v>
      </c>
      <c r="E19" s="11">
        <f t="shared" si="24"/>
        <v>2974403.6717803576</v>
      </c>
      <c r="F19" s="11">
        <f t="shared" si="24"/>
        <v>2947805.80832633</v>
      </c>
      <c r="G19" s="11">
        <f t="shared" si="24"/>
        <v>3129756.6581971073</v>
      </c>
      <c r="H19" s="11">
        <f t="shared" si="24"/>
        <v>3221405.2174563934</v>
      </c>
      <c r="I19" s="11">
        <f t="shared" si="24"/>
        <v>3578520.2140341196</v>
      </c>
      <c r="J19" s="11">
        <f t="shared" si="24"/>
        <v>3898427.9292025501</v>
      </c>
      <c r="K19" s="11">
        <f t="shared" si="24"/>
        <v>3346052.1898941142</v>
      </c>
      <c r="L19" s="11">
        <f t="shared" si="24"/>
        <v>3569735.1458121282</v>
      </c>
      <c r="M19" s="11">
        <f t="shared" si="24"/>
        <v>3925404.4629686051</v>
      </c>
      <c r="N19" s="11">
        <f t="shared" si="24"/>
        <v>4175999.2183142244</v>
      </c>
      <c r="O19" s="11">
        <f t="shared" si="24"/>
        <v>4381895.7426422853</v>
      </c>
      <c r="P19" s="11">
        <f t="shared" si="24"/>
        <v>4189441.5588187822</v>
      </c>
      <c r="Q19" s="11">
        <f t="shared" si="24"/>
        <v>4528957.0670288326</v>
      </c>
      <c r="R19" s="11">
        <f t="shared" si="24"/>
        <v>4909666.1756261932</v>
      </c>
      <c r="S19" s="11">
        <f t="shared" si="24"/>
        <v>5137887.9461646434</v>
      </c>
      <c r="T19" s="11">
        <f t="shared" si="24"/>
        <v>4863492.6771004219</v>
      </c>
      <c r="U19" s="11">
        <f t="shared" si="24"/>
        <v>4774191.1195921823</v>
      </c>
      <c r="V19" s="11">
        <f t="shared" si="24"/>
        <v>5005200.6574451728</v>
      </c>
      <c r="W19" s="11">
        <f t="shared" si="24"/>
        <v>5145350.024742689</v>
      </c>
      <c r="X19" s="11">
        <f t="shared" si="24"/>
        <v>5474891.2856994197</v>
      </c>
      <c r="Y19" s="11">
        <f t="shared" si="24"/>
        <v>6001081.0044760099</v>
      </c>
      <c r="Z19" s="11">
        <f t="shared" si="24"/>
        <v>4635724.9070456848</v>
      </c>
      <c r="AA19" s="11">
        <f t="shared" si="24"/>
        <v>4993466.8580454867</v>
      </c>
      <c r="AB19" s="11">
        <f t="shared" si="24"/>
        <v>5191145.6856058715</v>
      </c>
      <c r="AC19" s="11">
        <f t="shared" si="24"/>
        <v>5764071.2843987076</v>
      </c>
      <c r="AD19" s="11">
        <f t="shared" si="24"/>
        <v>6313767.3582666153</v>
      </c>
      <c r="AE19" s="11">
        <f t="shared" si="24"/>
        <v>6967186.7402023794</v>
      </c>
      <c r="AF19" s="11">
        <f t="shared" si="24"/>
        <v>7152387.0474651279</v>
      </c>
      <c r="AG19" s="11">
        <f t="shared" si="24"/>
        <v>7839800.7921217866</v>
      </c>
      <c r="AH19" s="27"/>
    </row>
    <row r="20" spans="1:38">
      <c r="A20" s="16"/>
      <c r="B20" s="11"/>
      <c r="C20" s="2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27"/>
    </row>
    <row r="21" spans="1:38">
      <c r="A21" s="16" t="s">
        <v>141</v>
      </c>
      <c r="B21" s="11">
        <f>'FF Deposit'!K193</f>
        <v>453331.86938429723</v>
      </c>
      <c r="C21" s="27"/>
      <c r="D21" s="11">
        <f>'FF Deposit'!L193</f>
        <v>465129.08556201652</v>
      </c>
      <c r="E21" s="11">
        <f>'FF Deposit'!M193</f>
        <v>470712.86607160437</v>
      </c>
      <c r="F21" s="11">
        <f>'FF Deposit'!N193</f>
        <v>496463.96334778221</v>
      </c>
      <c r="G21" s="11">
        <f>'FF Deposit'!O193</f>
        <v>509025.49878634972</v>
      </c>
      <c r="H21" s="11">
        <f>'FF Deposit'!P193</f>
        <v>529140.42234167061</v>
      </c>
      <c r="I21" s="11">
        <f>'FF Deposit'!Q193</f>
        <v>530865.40211523033</v>
      </c>
      <c r="J21" s="11">
        <f>'FF Deposit'!R193</f>
        <v>535490.83395775442</v>
      </c>
      <c r="K21" s="11">
        <f>'FF Deposit'!S193</f>
        <v>600358.21870706591</v>
      </c>
      <c r="L21" s="11">
        <f>'FF Deposit'!T193</f>
        <v>613447.19531133224</v>
      </c>
      <c r="M21" s="11">
        <f>'FF Deposit'!U193</f>
        <v>618911.23957612831</v>
      </c>
      <c r="N21" s="11">
        <f>'FF Deposit'!V193</f>
        <v>632077.54887736856</v>
      </c>
      <c r="O21" s="11">
        <f>'FF Deposit'!W193</f>
        <v>649364.92659885297</v>
      </c>
      <c r="P21" s="11">
        <f>'FF Deposit'!X193</f>
        <v>693751.02022010472</v>
      </c>
      <c r="Q21" s="11">
        <f>'FF Deposit'!Y193</f>
        <v>704343.69928131998</v>
      </c>
      <c r="R21" s="11">
        <f>'FF Deposit'!Z193</f>
        <v>713078.17203119094</v>
      </c>
      <c r="S21" s="11">
        <f>'FF Deposit'!AA193</f>
        <v>735771.1013122804</v>
      </c>
      <c r="T21" s="11">
        <f>'FF Deposit'!AB193</f>
        <v>792533.78708691313</v>
      </c>
      <c r="U21" s="11">
        <f>'FF Deposit'!AC193</f>
        <v>841240.60280724568</v>
      </c>
      <c r="V21" s="11">
        <f>'FF Deposit'!AD193</f>
        <v>868003.86988066137</v>
      </c>
      <c r="W21" s="11">
        <f>'FF Deposit'!AE193</f>
        <v>903067.07811459445</v>
      </c>
      <c r="X21" s="11">
        <f>'FF Deposit'!AF193</f>
        <v>924726.25168554077</v>
      </c>
      <c r="Y21" s="11">
        <f>'FF Deposit'!AG193</f>
        <v>934972.55758429726</v>
      </c>
      <c r="Z21" s="11">
        <f>'FF Deposit'!AH193</f>
        <v>1072215.2681850872</v>
      </c>
      <c r="AA21" s="11">
        <f>'FF Deposit'!AI193</f>
        <v>1098416.1851136654</v>
      </c>
      <c r="AB21" s="11">
        <f>'FF Deposit'!AJ193</f>
        <v>1138211.80449532</v>
      </c>
      <c r="AC21" s="11">
        <f>'FF Deposit'!AK193</f>
        <v>1152394.341077015</v>
      </c>
      <c r="AD21" s="11">
        <f>'FF Deposit'!AL193</f>
        <v>1170016.2258725511</v>
      </c>
      <c r="AE21" s="11">
        <f>'FF Deposit'!AM193</f>
        <v>1183069.6025558203</v>
      </c>
      <c r="AF21" s="11">
        <f>'FF Deposit'!AN193</f>
        <v>1225591.1231881198</v>
      </c>
      <c r="AG21" s="11">
        <f>'FF Deposit'!AO193</f>
        <v>1238523.1017879788</v>
      </c>
      <c r="AH21" s="27"/>
    </row>
    <row r="22" spans="1:38">
      <c r="A22" s="16" t="s">
        <v>256</v>
      </c>
      <c r="B22" s="11">
        <f>-B6</f>
        <v>0</v>
      </c>
      <c r="C22" s="27"/>
      <c r="D22" s="11">
        <f t="shared" ref="D22:AG22" si="25">-D6</f>
        <v>0</v>
      </c>
      <c r="E22" s="11">
        <f t="shared" si="25"/>
        <v>0</v>
      </c>
      <c r="F22" s="11">
        <f t="shared" si="25"/>
        <v>0</v>
      </c>
      <c r="G22" s="11">
        <f t="shared" si="25"/>
        <v>0</v>
      </c>
      <c r="H22" s="11">
        <f t="shared" si="25"/>
        <v>0</v>
      </c>
      <c r="I22" s="11">
        <f t="shared" si="25"/>
        <v>17210</v>
      </c>
      <c r="J22" s="11">
        <f t="shared" si="25"/>
        <v>0</v>
      </c>
      <c r="K22" s="11">
        <f t="shared" si="25"/>
        <v>0</v>
      </c>
      <c r="L22" s="11">
        <f t="shared" si="25"/>
        <v>0</v>
      </c>
      <c r="M22" s="11">
        <f t="shared" si="25"/>
        <v>0</v>
      </c>
      <c r="N22" s="11">
        <f t="shared" si="25"/>
        <v>0</v>
      </c>
      <c r="O22" s="11">
        <f t="shared" si="25"/>
        <v>0</v>
      </c>
      <c r="P22" s="11">
        <f t="shared" si="25"/>
        <v>0</v>
      </c>
      <c r="Q22" s="11">
        <f t="shared" si="25"/>
        <v>37230</v>
      </c>
      <c r="R22" s="11">
        <f t="shared" si="25"/>
        <v>0</v>
      </c>
      <c r="S22" s="11">
        <f t="shared" si="25"/>
        <v>52022</v>
      </c>
      <c r="T22" s="11">
        <f t="shared" si="25"/>
        <v>17947</v>
      </c>
      <c r="U22" s="11">
        <f t="shared" si="25"/>
        <v>0</v>
      </c>
      <c r="V22" s="11">
        <f t="shared" si="25"/>
        <v>0</v>
      </c>
      <c r="W22" s="11">
        <f t="shared" si="25"/>
        <v>0</v>
      </c>
      <c r="X22" s="11">
        <f t="shared" si="25"/>
        <v>0</v>
      </c>
      <c r="Y22" s="11">
        <f t="shared" si="25"/>
        <v>29841</v>
      </c>
      <c r="Z22" s="11">
        <f t="shared" si="25"/>
        <v>0</v>
      </c>
      <c r="AA22" s="11">
        <f t="shared" si="25"/>
        <v>0</v>
      </c>
      <c r="AB22" s="11">
        <f t="shared" si="25"/>
        <v>18733</v>
      </c>
      <c r="AC22" s="11">
        <f t="shared" si="25"/>
        <v>0</v>
      </c>
      <c r="AD22" s="11">
        <f t="shared" si="25"/>
        <v>0</v>
      </c>
      <c r="AE22" s="11">
        <f t="shared" si="25"/>
        <v>0</v>
      </c>
      <c r="AF22" s="11">
        <f t="shared" si="25"/>
        <v>0</v>
      </c>
      <c r="AG22" s="11">
        <f t="shared" si="25"/>
        <v>39295</v>
      </c>
      <c r="AH22" s="27"/>
    </row>
    <row r="23" spans="1:38">
      <c r="A23" s="16" t="s">
        <v>257</v>
      </c>
      <c r="B23" s="11">
        <f>SUM(B21:B22)</f>
        <v>453331.86938429723</v>
      </c>
      <c r="C23" s="27"/>
      <c r="D23" s="11">
        <f t="shared" ref="D23:AG23" si="26">SUM(D21:D22)</f>
        <v>465129.08556201652</v>
      </c>
      <c r="E23" s="11">
        <f t="shared" si="26"/>
        <v>470712.86607160437</v>
      </c>
      <c r="F23" s="11">
        <f t="shared" si="26"/>
        <v>496463.96334778221</v>
      </c>
      <c r="G23" s="11">
        <f t="shared" si="26"/>
        <v>509025.49878634972</v>
      </c>
      <c r="H23" s="11">
        <f t="shared" si="26"/>
        <v>529140.42234167061</v>
      </c>
      <c r="I23" s="11">
        <f t="shared" si="26"/>
        <v>548075.40211523033</v>
      </c>
      <c r="J23" s="11">
        <f t="shared" si="26"/>
        <v>535490.83395775442</v>
      </c>
      <c r="K23" s="11">
        <f t="shared" si="26"/>
        <v>600358.21870706591</v>
      </c>
      <c r="L23" s="11">
        <f t="shared" si="26"/>
        <v>613447.19531133224</v>
      </c>
      <c r="M23" s="11">
        <f t="shared" si="26"/>
        <v>618911.23957612831</v>
      </c>
      <c r="N23" s="11">
        <f t="shared" si="26"/>
        <v>632077.54887736856</v>
      </c>
      <c r="O23" s="11">
        <f t="shared" si="26"/>
        <v>649364.92659885297</v>
      </c>
      <c r="P23" s="11">
        <f t="shared" si="26"/>
        <v>693751.02022010472</v>
      </c>
      <c r="Q23" s="11">
        <f t="shared" si="26"/>
        <v>741573.69928131998</v>
      </c>
      <c r="R23" s="11">
        <f t="shared" si="26"/>
        <v>713078.17203119094</v>
      </c>
      <c r="S23" s="11">
        <f t="shared" si="26"/>
        <v>787793.1013122804</v>
      </c>
      <c r="T23" s="11">
        <f t="shared" si="26"/>
        <v>810480.78708691313</v>
      </c>
      <c r="U23" s="11">
        <f t="shared" si="26"/>
        <v>841240.60280724568</v>
      </c>
      <c r="V23" s="11">
        <f t="shared" si="26"/>
        <v>868003.86988066137</v>
      </c>
      <c r="W23" s="11">
        <f t="shared" si="26"/>
        <v>903067.07811459445</v>
      </c>
      <c r="X23" s="11">
        <f t="shared" si="26"/>
        <v>924726.25168554077</v>
      </c>
      <c r="Y23" s="11">
        <f t="shared" si="26"/>
        <v>964813.55758429726</v>
      </c>
      <c r="Z23" s="11">
        <f t="shared" si="26"/>
        <v>1072215.2681850872</v>
      </c>
      <c r="AA23" s="11">
        <f t="shared" si="26"/>
        <v>1098416.1851136654</v>
      </c>
      <c r="AB23" s="11">
        <f t="shared" si="26"/>
        <v>1156944.80449532</v>
      </c>
      <c r="AC23" s="11">
        <f t="shared" si="26"/>
        <v>1152394.341077015</v>
      </c>
      <c r="AD23" s="11">
        <f t="shared" si="26"/>
        <v>1170016.2258725511</v>
      </c>
      <c r="AE23" s="11">
        <f t="shared" si="26"/>
        <v>1183069.6025558203</v>
      </c>
      <c r="AF23" s="11">
        <f t="shared" si="26"/>
        <v>1225591.1231881198</v>
      </c>
      <c r="AG23" s="11">
        <f t="shared" si="26"/>
        <v>1277818.1017879788</v>
      </c>
      <c r="AH23" s="27"/>
    </row>
    <row r="24" spans="1:38">
      <c r="C24" s="27"/>
      <c r="AH24" s="27"/>
    </row>
    <row r="25" spans="1:38">
      <c r="A25" s="2" t="s">
        <v>142</v>
      </c>
      <c r="C25" s="27"/>
      <c r="D25" s="2">
        <f>AnalysisYear-5</f>
        <v>2015</v>
      </c>
      <c r="E25" s="2">
        <f>D25+1</f>
        <v>2016</v>
      </c>
      <c r="F25" s="2">
        <f t="shared" ref="F25:AL25" si="27">E25+1</f>
        <v>2017</v>
      </c>
      <c r="G25" s="2">
        <f t="shared" si="27"/>
        <v>2018</v>
      </c>
      <c r="H25" s="2">
        <f t="shared" si="27"/>
        <v>2019</v>
      </c>
      <c r="I25" s="2">
        <f t="shared" si="27"/>
        <v>2020</v>
      </c>
      <c r="J25" s="2">
        <f t="shared" si="27"/>
        <v>2021</v>
      </c>
      <c r="K25" s="2">
        <f t="shared" si="27"/>
        <v>2022</v>
      </c>
      <c r="L25" s="2">
        <f t="shared" si="27"/>
        <v>2023</v>
      </c>
      <c r="M25" s="2">
        <f t="shared" si="27"/>
        <v>2024</v>
      </c>
      <c r="N25" s="2">
        <f t="shared" si="27"/>
        <v>2025</v>
      </c>
      <c r="O25" s="2">
        <f t="shared" si="27"/>
        <v>2026</v>
      </c>
      <c r="P25" s="2">
        <f t="shared" si="27"/>
        <v>2027</v>
      </c>
      <c r="Q25" s="2">
        <f t="shared" si="27"/>
        <v>2028</v>
      </c>
      <c r="R25" s="2">
        <f t="shared" si="27"/>
        <v>2029</v>
      </c>
      <c r="S25" s="2">
        <f t="shared" si="27"/>
        <v>2030</v>
      </c>
      <c r="T25" s="2">
        <f t="shared" si="27"/>
        <v>2031</v>
      </c>
      <c r="U25" s="2">
        <f t="shared" si="27"/>
        <v>2032</v>
      </c>
      <c r="V25" s="2">
        <f t="shared" si="27"/>
        <v>2033</v>
      </c>
      <c r="W25" s="2">
        <f t="shared" si="27"/>
        <v>2034</v>
      </c>
      <c r="X25" s="2">
        <f t="shared" si="27"/>
        <v>2035</v>
      </c>
      <c r="Y25" s="2">
        <f t="shared" si="27"/>
        <v>2036</v>
      </c>
      <c r="Z25" s="2">
        <f t="shared" si="27"/>
        <v>2037</v>
      </c>
      <c r="AA25" s="2">
        <f t="shared" si="27"/>
        <v>2038</v>
      </c>
      <c r="AB25" s="2">
        <f t="shared" si="27"/>
        <v>2039</v>
      </c>
      <c r="AC25" s="2">
        <f t="shared" si="27"/>
        <v>2040</v>
      </c>
      <c r="AD25" s="2">
        <f t="shared" si="27"/>
        <v>2041</v>
      </c>
      <c r="AE25" s="2">
        <f t="shared" si="27"/>
        <v>2042</v>
      </c>
      <c r="AF25" s="2">
        <f t="shared" si="27"/>
        <v>2043</v>
      </c>
      <c r="AG25" s="2">
        <f t="shared" si="27"/>
        <v>2044</v>
      </c>
      <c r="AH25" s="2">
        <f t="shared" si="27"/>
        <v>2045</v>
      </c>
      <c r="AI25" s="2">
        <f t="shared" si="27"/>
        <v>2046</v>
      </c>
      <c r="AJ25" s="2">
        <f t="shared" si="27"/>
        <v>2047</v>
      </c>
      <c r="AK25" s="2">
        <f t="shared" si="27"/>
        <v>2048</v>
      </c>
      <c r="AL25" s="2">
        <f t="shared" si="27"/>
        <v>2049</v>
      </c>
    </row>
    <row r="26" spans="1:38">
      <c r="A26" s="1" t="s">
        <v>143</v>
      </c>
      <c r="C26" s="27"/>
      <c r="F26" s="72"/>
      <c r="G26" s="72"/>
      <c r="H26" s="51">
        <f>Components!G205</f>
        <v>6.3654506732618854</v>
      </c>
      <c r="I26" s="51">
        <f>Components!M205</f>
        <v>10.455963176696896</v>
      </c>
      <c r="J26" s="51">
        <f>Components!N205</f>
        <v>5.0097897774113767</v>
      </c>
      <c r="K26" s="51">
        <f>Components!O205</f>
        <v>21.69668865072822</v>
      </c>
      <c r="L26" s="51">
        <f>Components!P205</f>
        <v>10.394098653476229</v>
      </c>
      <c r="M26" s="51">
        <f>Components!Q205</f>
        <v>16.349031327287715</v>
      </c>
      <c r="N26" s="51">
        <f>Components!R205</f>
        <v>1.0379568562791976</v>
      </c>
      <c r="O26" s="51">
        <f>Components!S205</f>
        <v>4.2915636163781263</v>
      </c>
      <c r="P26" s="51">
        <f>Components!T205</f>
        <v>55.762366034624897</v>
      </c>
      <c r="Q26" s="51">
        <f>Components!U205</f>
        <v>12.036136301181644</v>
      </c>
      <c r="R26" s="51">
        <f>Components!V205</f>
        <v>5.0830241824677103</v>
      </c>
      <c r="S26" s="51">
        <f>Components!W205</f>
        <v>11.836115691123936</v>
      </c>
      <c r="T26" s="51">
        <f>Components!X205</f>
        <v>15.219153613630118</v>
      </c>
      <c r="U26" s="51">
        <f>Components!Y205</f>
        <v>39.291494916185769</v>
      </c>
      <c r="V26" s="51">
        <f>Components!Z205</f>
        <v>8.3134446276449587</v>
      </c>
      <c r="W26" s="51">
        <f>Components!AA205</f>
        <v>7.9766419345974162</v>
      </c>
      <c r="X26" s="51">
        <f>Components!AB205</f>
        <v>15.951806815059083</v>
      </c>
      <c r="Y26" s="51">
        <f>Components!AC205</f>
        <v>47.483271503160211</v>
      </c>
      <c r="Z26" s="51">
        <f>Components!AD205</f>
        <v>39.036617202528163</v>
      </c>
      <c r="AA26" s="51">
        <f>Components!AE205</f>
        <v>21.87118713932399</v>
      </c>
      <c r="AB26" s="51">
        <f>Components!AF205</f>
        <v>28.418212420994777</v>
      </c>
      <c r="AC26" s="51">
        <f>Components!AG205</f>
        <v>18.691639186589722</v>
      </c>
      <c r="AD26" s="51">
        <f>Components!AH205</f>
        <v>7.3727672437482816</v>
      </c>
      <c r="AE26" s="51">
        <f>Components!AI205</f>
        <v>2.3445314646881008</v>
      </c>
      <c r="AF26" s="51">
        <f>Components!AJ205</f>
        <v>22.354424292388021</v>
      </c>
      <c r="AG26" s="51">
        <f>Components!AK205</f>
        <v>32.446242099477878</v>
      </c>
      <c r="AH26" s="51">
        <f>Components!AL205</f>
        <v>12.757934872217643</v>
      </c>
      <c r="AI26" s="51">
        <f>Components!AM205</f>
        <v>15.327974718329211</v>
      </c>
      <c r="AJ26" s="51">
        <f>Components!AN205</f>
        <v>10.598378675460292</v>
      </c>
      <c r="AK26" s="51">
        <f>Components!AO205</f>
        <v>39.05265869744435</v>
      </c>
      <c r="AL26" s="51">
        <f>Components!AP205</f>
        <v>10.196276449574059</v>
      </c>
    </row>
    <row r="27" spans="1:38">
      <c r="A27" s="1" t="s">
        <v>144</v>
      </c>
      <c r="C27" s="27"/>
      <c r="E27" s="52"/>
      <c r="F27" s="52"/>
      <c r="G27" s="52"/>
      <c r="H27" s="52" t="e">
        <f t="shared" ref="H27:AL27" si="28">H26/G26-1</f>
        <v>#DIV/0!</v>
      </c>
      <c r="I27" s="52">
        <f t="shared" si="28"/>
        <v>0.64261160967238862</v>
      </c>
      <c r="J27" s="52">
        <f t="shared" si="28"/>
        <v>-0.52086769121598986</v>
      </c>
      <c r="K27" s="52">
        <f t="shared" si="28"/>
        <v>3.3308581027803488</v>
      </c>
      <c r="L27" s="52">
        <f t="shared" si="28"/>
        <v>-0.52093617506340695</v>
      </c>
      <c r="M27" s="52">
        <f t="shared" si="28"/>
        <v>0.57291477330936269</v>
      </c>
      <c r="N27" s="52">
        <f t="shared" si="28"/>
        <v>-0.93651263885299596</v>
      </c>
      <c r="O27" s="52">
        <f t="shared" si="28"/>
        <v>3.1346262037925676</v>
      </c>
      <c r="P27" s="52">
        <f t="shared" si="28"/>
        <v>11.993484664148042</v>
      </c>
      <c r="Q27" s="52">
        <f t="shared" si="28"/>
        <v>-0.78415305595698781</v>
      </c>
      <c r="R27" s="52">
        <f t="shared" si="28"/>
        <v>-0.57768638911403114</v>
      </c>
      <c r="S27" s="52">
        <f t="shared" si="28"/>
        <v>1.3285578164174168</v>
      </c>
      <c r="T27" s="52">
        <f t="shared" si="28"/>
        <v>0.28582332335963634</v>
      </c>
      <c r="U27" s="52">
        <f t="shared" si="28"/>
        <v>1.5817135376698417</v>
      </c>
      <c r="V27" s="52">
        <f t="shared" si="28"/>
        <v>-0.78841617898787786</v>
      </c>
      <c r="W27" s="52">
        <f t="shared" si="28"/>
        <v>-4.0513013333553949E-2</v>
      </c>
      <c r="X27" s="52">
        <f t="shared" si="28"/>
        <v>0.99981482757432749</v>
      </c>
      <c r="Y27" s="52">
        <f t="shared" si="28"/>
        <v>1.9766704207033325</v>
      </c>
      <c r="Z27" s="52">
        <f t="shared" si="28"/>
        <v>-0.17788694909258496</v>
      </c>
      <c r="AA27" s="52">
        <f t="shared" si="28"/>
        <v>-0.43972637214303689</v>
      </c>
      <c r="AB27" s="52">
        <f t="shared" si="28"/>
        <v>0.29934476075600669</v>
      </c>
      <c r="AC27" s="52">
        <f t="shared" si="28"/>
        <v>-0.34226548420122538</v>
      </c>
      <c r="AD27" s="52">
        <f t="shared" si="28"/>
        <v>-0.60555801606539372</v>
      </c>
      <c r="AE27" s="52">
        <f t="shared" si="28"/>
        <v>-0.68200115544456663</v>
      </c>
      <c r="AF27" s="52">
        <f t="shared" si="28"/>
        <v>8.5347085885076357</v>
      </c>
      <c r="AG27" s="52">
        <f t="shared" si="28"/>
        <v>0.45144610637663596</v>
      </c>
      <c r="AH27" s="52">
        <f t="shared" si="28"/>
        <v>-0.60679776619114412</v>
      </c>
      <c r="AI27" s="52">
        <f t="shared" si="28"/>
        <v>0.20144638390561331</v>
      </c>
      <c r="AJ27" s="52">
        <f t="shared" si="28"/>
        <v>-0.30855974972435607</v>
      </c>
      <c r="AK27" s="52">
        <f t="shared" si="28"/>
        <v>2.6847766902184476</v>
      </c>
      <c r="AL27" s="52">
        <f t="shared" si="28"/>
        <v>-0.73890954445461832</v>
      </c>
    </row>
    <row r="28" spans="1:38">
      <c r="A28" s="1" t="s">
        <v>141</v>
      </c>
      <c r="C28" s="27"/>
      <c r="H28" s="51">
        <f>B21/2426/12</f>
        <v>15.571993314931893</v>
      </c>
      <c r="I28" s="51">
        <f t="shared" ref="I28:AL28" si="29">D21/2426/12</f>
        <v>15.977228825295979</v>
      </c>
      <c r="J28" s="51">
        <f t="shared" si="29"/>
        <v>16.169032222849832</v>
      </c>
      <c r="K28" s="51">
        <f t="shared" si="29"/>
        <v>17.053584891034014</v>
      </c>
      <c r="L28" s="51">
        <f t="shared" si="29"/>
        <v>17.485074841520667</v>
      </c>
      <c r="M28" s="51">
        <f t="shared" si="29"/>
        <v>18.176024400304708</v>
      </c>
      <c r="N28" s="51">
        <f t="shared" si="29"/>
        <v>18.235277621435504</v>
      </c>
      <c r="O28" s="51">
        <f t="shared" si="29"/>
        <v>18.394161650101484</v>
      </c>
      <c r="P28" s="51">
        <f t="shared" si="29"/>
        <v>20.622362555202869</v>
      </c>
      <c r="Q28" s="51">
        <f t="shared" si="29"/>
        <v>21.071970160460712</v>
      </c>
      <c r="R28" s="51">
        <f t="shared" si="29"/>
        <v>21.259660606489707</v>
      </c>
      <c r="S28" s="51">
        <f t="shared" si="29"/>
        <v>21.711924597326483</v>
      </c>
      <c r="T28" s="51">
        <f t="shared" si="29"/>
        <v>22.305747684764118</v>
      </c>
      <c r="U28" s="51">
        <f t="shared" si="29"/>
        <v>23.830414269720553</v>
      </c>
      <c r="V28" s="51">
        <f t="shared" si="29"/>
        <v>24.19427381428002</v>
      </c>
      <c r="W28" s="51">
        <f t="shared" si="29"/>
        <v>24.494303793322032</v>
      </c>
      <c r="X28" s="51">
        <f t="shared" si="29"/>
        <v>25.273808096739501</v>
      </c>
      <c r="Y28" s="51">
        <f t="shared" si="29"/>
        <v>27.22361181254854</v>
      </c>
      <c r="Z28" s="51">
        <f t="shared" si="29"/>
        <v>28.896695617176618</v>
      </c>
      <c r="AA28" s="51">
        <f t="shared" si="29"/>
        <v>29.816016415246679</v>
      </c>
      <c r="AB28" s="51">
        <f t="shared" si="29"/>
        <v>31.020440990471091</v>
      </c>
      <c r="AC28" s="51">
        <f t="shared" si="29"/>
        <v>31.764435685818246</v>
      </c>
      <c r="AD28" s="51">
        <f t="shared" si="29"/>
        <v>32.116397278932993</v>
      </c>
      <c r="AE28" s="51">
        <f t="shared" si="29"/>
        <v>36.830697588110993</v>
      </c>
      <c r="AF28" s="51">
        <f t="shared" si="29"/>
        <v>37.730701604618901</v>
      </c>
      <c r="AG28" s="51">
        <f t="shared" si="29"/>
        <v>39.097684957932124</v>
      </c>
      <c r="AH28" s="51">
        <f t="shared" si="29"/>
        <v>39.584856453593538</v>
      </c>
      <c r="AI28" s="51">
        <f t="shared" si="29"/>
        <v>40.190169891197826</v>
      </c>
      <c r="AJ28" s="51">
        <f t="shared" si="29"/>
        <v>40.638554635745407</v>
      </c>
      <c r="AK28" s="51">
        <f t="shared" si="29"/>
        <v>42.099172959196203</v>
      </c>
      <c r="AL28" s="51">
        <f t="shared" si="29"/>
        <v>42.543387667902543</v>
      </c>
    </row>
    <row r="29" spans="1:38">
      <c r="C29" s="27"/>
      <c r="AH29" s="27"/>
    </row>
  </sheetData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AK49"/>
  <sheetViews>
    <sheetView showGridLines="0" topLeftCell="A2" workbookViewId="0">
      <pane xSplit="3" topLeftCell="D1" activePane="topRight" state="frozenSplit"/>
      <selection activeCell="B3" sqref="B3"/>
      <selection pane="topRight" activeCell="B2" sqref="B2"/>
    </sheetView>
  </sheetViews>
  <sheetFormatPr baseColWidth="10" defaultColWidth="10.83203125" defaultRowHeight="15" x14ac:dyDescent="0"/>
  <cols>
    <col min="1" max="1" width="6.33203125" style="1" customWidth="1"/>
    <col min="2" max="2" width="40.6640625" style="1" customWidth="1"/>
    <col min="3" max="3" width="1.83203125" style="1" customWidth="1"/>
    <col min="4" max="25" width="10.83203125" style="1" customWidth="1"/>
    <col min="26" max="26" width="11.1640625" style="1" bestFit="1" customWidth="1"/>
    <col min="27" max="33" width="10.83203125" style="1" customWidth="1"/>
    <col min="34" max="34" width="1.83203125" style="1" customWidth="1"/>
    <col min="35" max="35" width="11.83203125" style="1" customWidth="1"/>
    <col min="36" max="36" width="2.83203125" style="1" customWidth="1"/>
    <col min="37" max="16384" width="10.83203125" style="1"/>
  </cols>
  <sheetData>
    <row r="1" spans="1:37" ht="18">
      <c r="B1" s="281" t="s">
        <v>147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</row>
    <row r="2" spans="1:37">
      <c r="C2" s="3"/>
      <c r="I2" s="3"/>
      <c r="J2" s="3"/>
      <c r="K2" s="3"/>
      <c r="V2" s="53"/>
      <c r="AF2" s="53"/>
      <c r="AG2" s="53"/>
      <c r="AH2" s="53"/>
    </row>
    <row r="3" spans="1:37" ht="31" thickBot="1">
      <c r="A3" s="54" t="s">
        <v>148</v>
      </c>
      <c r="B3" s="12" t="s">
        <v>145</v>
      </c>
      <c r="C3" s="3"/>
      <c r="D3" s="10">
        <f>AnalysisYear</f>
        <v>2020</v>
      </c>
      <c r="E3" s="10">
        <f t="shared" ref="E3:AG3" si="0">D3+1</f>
        <v>2021</v>
      </c>
      <c r="F3" s="10">
        <f t="shared" si="0"/>
        <v>2022</v>
      </c>
      <c r="G3" s="10">
        <f t="shared" si="0"/>
        <v>2023</v>
      </c>
      <c r="H3" s="10">
        <f t="shared" si="0"/>
        <v>2024</v>
      </c>
      <c r="I3" s="10">
        <f t="shared" si="0"/>
        <v>2025</v>
      </c>
      <c r="J3" s="10">
        <f t="shared" si="0"/>
        <v>2026</v>
      </c>
      <c r="K3" s="10">
        <f t="shared" si="0"/>
        <v>2027</v>
      </c>
      <c r="L3" s="10">
        <f t="shared" si="0"/>
        <v>2028</v>
      </c>
      <c r="M3" s="10">
        <f t="shared" si="0"/>
        <v>2029</v>
      </c>
      <c r="N3" s="10">
        <f t="shared" si="0"/>
        <v>2030</v>
      </c>
      <c r="O3" s="10">
        <f t="shared" si="0"/>
        <v>2031</v>
      </c>
      <c r="P3" s="10">
        <f t="shared" si="0"/>
        <v>2032</v>
      </c>
      <c r="Q3" s="10">
        <f t="shared" si="0"/>
        <v>2033</v>
      </c>
      <c r="R3" s="10">
        <f t="shared" si="0"/>
        <v>2034</v>
      </c>
      <c r="S3" s="10">
        <f t="shared" si="0"/>
        <v>2035</v>
      </c>
      <c r="T3" s="10">
        <f t="shared" si="0"/>
        <v>2036</v>
      </c>
      <c r="U3" s="10">
        <f t="shared" si="0"/>
        <v>2037</v>
      </c>
      <c r="V3" s="10">
        <f t="shared" si="0"/>
        <v>2038</v>
      </c>
      <c r="W3" s="10">
        <f t="shared" si="0"/>
        <v>2039</v>
      </c>
      <c r="X3" s="10">
        <f t="shared" si="0"/>
        <v>2040</v>
      </c>
      <c r="Y3" s="10">
        <f t="shared" si="0"/>
        <v>2041</v>
      </c>
      <c r="Z3" s="10">
        <f t="shared" si="0"/>
        <v>2042</v>
      </c>
      <c r="AA3" s="10">
        <f t="shared" si="0"/>
        <v>2043</v>
      </c>
      <c r="AB3" s="10">
        <f t="shared" si="0"/>
        <v>2044</v>
      </c>
      <c r="AC3" s="10">
        <f t="shared" si="0"/>
        <v>2045</v>
      </c>
      <c r="AD3" s="10">
        <f t="shared" si="0"/>
        <v>2046</v>
      </c>
      <c r="AE3" s="10">
        <f t="shared" si="0"/>
        <v>2047</v>
      </c>
      <c r="AF3" s="10">
        <f t="shared" si="0"/>
        <v>2048</v>
      </c>
      <c r="AG3" s="10">
        <f t="shared" si="0"/>
        <v>2049</v>
      </c>
      <c r="AH3" s="53"/>
      <c r="AI3" s="13" t="s">
        <v>100</v>
      </c>
    </row>
    <row r="4" spans="1:37" ht="6" customHeight="1" thickBot="1">
      <c r="A4" s="55"/>
      <c r="B4" s="12"/>
      <c r="C4" s="3"/>
      <c r="D4" s="56">
        <f>SUM(Components!M3:M192)</f>
        <v>304394</v>
      </c>
      <c r="E4" s="56">
        <f>SUM(Components!N3:N192)</f>
        <v>145845</v>
      </c>
      <c r="F4" s="56">
        <f>SUM(Components!O3:O192)</f>
        <v>631634</v>
      </c>
      <c r="G4" s="56">
        <f>SUM(Components!P3:P192)</f>
        <v>302593</v>
      </c>
      <c r="H4" s="56">
        <f>SUM(Components!Q3:Q192)</f>
        <v>475953</v>
      </c>
      <c r="I4" s="56">
        <f>SUM(Components!R3:R192)</f>
        <v>47427</v>
      </c>
      <c r="J4" s="56">
        <f>SUM(Components!S3:S192)</f>
        <v>124936</v>
      </c>
      <c r="K4" s="56">
        <f>SUM(Components!T3:T192)</f>
        <v>1623354</v>
      </c>
      <c r="L4" s="56">
        <f>SUM(Components!U3:U192)</f>
        <v>350396</v>
      </c>
      <c r="M4" s="56">
        <f>SUM(Components!V3:V192)</f>
        <v>147977</v>
      </c>
      <c r="N4" s="56">
        <f>SUM(Components!W3:W192)</f>
        <v>344573</v>
      </c>
      <c r="O4" s="56">
        <f>SUM(Components!X3:X192)</f>
        <v>443060</v>
      </c>
      <c r="P4" s="56">
        <f>SUM(Components!Y3:Y192)</f>
        <v>1143854</v>
      </c>
      <c r="Q4" s="56">
        <f>SUM(Components!Z3:Z192)</f>
        <v>279251</v>
      </c>
      <c r="R4" s="56">
        <f>SUM(Components!AA3:AA192)</f>
        <v>232216</v>
      </c>
      <c r="S4" s="56">
        <f>SUM(Components!AB3:AB192)</f>
        <v>516411</v>
      </c>
      <c r="T4" s="56">
        <f>SUM(Components!AC3:AC192)</f>
        <v>1400280</v>
      </c>
      <c r="U4" s="56">
        <f>SUM(Components!AD3:AD192)</f>
        <v>1136434</v>
      </c>
      <c r="V4" s="56">
        <f>SUM(Components!AE3:AE192)</f>
        <v>636714</v>
      </c>
      <c r="W4" s="56">
        <f>SUM(Components!AF3:AF192)</f>
        <v>827311</v>
      </c>
      <c r="X4" s="56">
        <f>SUM(Components!AG3:AG192)</f>
        <v>544151</v>
      </c>
      <c r="Y4" s="56">
        <f>SUM(Components!AH3:AH192)</f>
        <v>244477</v>
      </c>
      <c r="Z4" s="56">
        <f>SUM(Components!AI3:AI192)</f>
        <v>3484671</v>
      </c>
      <c r="AA4" s="56">
        <f>SUM(Components!AJ3:AJ192)</f>
        <v>650782</v>
      </c>
      <c r="AB4" s="56">
        <f>SUM(Components!AK3:AK192)</f>
        <v>963308</v>
      </c>
      <c r="AC4" s="56">
        <f>SUM(Components!AL3:AL192)</f>
        <v>371409</v>
      </c>
      <c r="AD4" s="56">
        <f>SUM(Components!AM3:AM192)</f>
        <v>446228</v>
      </c>
      <c r="AE4" s="56">
        <f>SUM(Components!AN3:AN192)</f>
        <v>308540</v>
      </c>
      <c r="AF4" s="56">
        <f>SUM(Components!AO3:AO192)</f>
        <v>1136901</v>
      </c>
      <c r="AG4" s="56">
        <f>SUM(Components!AP3:AP192)</f>
        <v>336129</v>
      </c>
      <c r="AH4" s="57"/>
      <c r="AI4" s="58">
        <f t="shared" ref="AI4:AI16" si="1">SUM(C4:AH4)</f>
        <v>19601209</v>
      </c>
    </row>
    <row r="5" spans="1:37">
      <c r="A5" s="55">
        <v>1</v>
      </c>
      <c r="B5" s="1" t="s">
        <v>407</v>
      </c>
      <c r="C5" s="59"/>
      <c r="D5" s="60">
        <f>SUMIF(Components!$B$3:$B$192,$B5,Components!M$3:M$192)</f>
        <v>57277</v>
      </c>
      <c r="E5" s="60">
        <f>SUMIF(Components!$B$3:$B$192,$B5,Components!N$3:N$192)</f>
        <v>0</v>
      </c>
      <c r="F5" s="60">
        <f>SUMIF(Components!$B$3:$B$192,$B5,Components!O$3:O$192)</f>
        <v>0</v>
      </c>
      <c r="G5" s="60">
        <f>SUMIF(Components!$B$3:$B$192,$B5,Components!P$3:P$192)</f>
        <v>0</v>
      </c>
      <c r="H5" s="60">
        <f>SUMIF(Components!$B$3:$B$192,$B5,Components!Q$3:Q$192)</f>
        <v>0</v>
      </c>
      <c r="I5" s="60">
        <f>SUMIF(Components!$B$3:$B$192,$B5,Components!R$3:R$192)</f>
        <v>0</v>
      </c>
      <c r="J5" s="60">
        <f>SUMIF(Components!$B$3:$B$192,$B5,Components!S$3:S$192)</f>
        <v>0</v>
      </c>
      <c r="K5" s="60">
        <f>SUMIF(Components!$B$3:$B$192,$B5,Components!T$3:T$192)</f>
        <v>185038</v>
      </c>
      <c r="L5" s="60">
        <f>SUMIF(Components!$B$3:$B$192,$B5,Components!U$3:U$192)</f>
        <v>0</v>
      </c>
      <c r="M5" s="60">
        <f>SUMIF(Components!$B$3:$B$192,$B5,Components!V$3:V$192)</f>
        <v>0</v>
      </c>
      <c r="N5" s="60">
        <f>SUMIF(Components!$B$3:$B$192,$B5,Components!W$3:W$192)</f>
        <v>0</v>
      </c>
      <c r="O5" s="60">
        <f>SUMIF(Components!$B$3:$B$192,$B5,Components!X$3:X$192)</f>
        <v>0</v>
      </c>
      <c r="P5" s="60">
        <f>SUMIF(Components!$B$3:$B$192,$B5,Components!Y$3:Y$192)</f>
        <v>0</v>
      </c>
      <c r="Q5" s="60">
        <f>SUMIF(Components!$B$3:$B$192,$B5,Components!Z$3:Z$192)</f>
        <v>0</v>
      </c>
      <c r="R5" s="60">
        <f>SUMIF(Components!$B$3:$B$192,$B5,Components!AA$3:AA$192)</f>
        <v>0</v>
      </c>
      <c r="S5" s="60">
        <f>SUMIF(Components!$B$3:$B$192,$B5,Components!AB$3:AB$192)</f>
        <v>0</v>
      </c>
      <c r="T5" s="60">
        <f>SUMIF(Components!$B$3:$B$192,$B5,Components!AC$3:AC$192)</f>
        <v>0</v>
      </c>
      <c r="U5" s="60">
        <f>SUMIF(Components!$B$3:$B$192,$B5,Components!AD$3:AD$192)</f>
        <v>0</v>
      </c>
      <c r="V5" s="60">
        <f>SUMIF(Components!$B$3:$B$192,$B5,Components!AE$3:AE$192)</f>
        <v>0</v>
      </c>
      <c r="W5" s="60">
        <f>SUMIF(Components!$B$3:$B$192,$B5,Components!AF$3:AF$192)</f>
        <v>0</v>
      </c>
      <c r="X5" s="60">
        <f>SUMIF(Components!$B$3:$B$192,$B5,Components!AG$3:AG$192)</f>
        <v>0</v>
      </c>
      <c r="Y5" s="60">
        <f>SUMIF(Components!$B$3:$B$192,$B5,Components!AH$3:AH$192)</f>
        <v>0</v>
      </c>
      <c r="Z5" s="60">
        <f>SUMIF(Components!$B$3:$B$192,$B5,Components!AI$3:AI$192)</f>
        <v>352714</v>
      </c>
      <c r="AA5" s="60">
        <f>SUMIF(Components!$B$3:$B$192,$B5,Components!AJ$3:AJ$192)</f>
        <v>215455</v>
      </c>
      <c r="AB5" s="60">
        <f>SUMIF(Components!$B$3:$B$192,$B5,Components!AK$3:AK$192)</f>
        <v>558624</v>
      </c>
      <c r="AC5" s="60">
        <f>SUMIF(Components!$B$3:$B$192,$B5,Components!AL$3:AL$192)</f>
        <v>0</v>
      </c>
      <c r="AD5" s="60">
        <f>SUMIF(Components!$B$3:$B$192,$B5,Components!AM$3:AM$192)</f>
        <v>0</v>
      </c>
      <c r="AE5" s="60">
        <f>SUMIF(Components!$B$3:$B$192,$B5,Components!AN$3:AN$192)</f>
        <v>0</v>
      </c>
      <c r="AF5" s="60">
        <f>SUMIF(Components!$B$3:$B$192,$B5,Components!AO$3:AO$192)</f>
        <v>0</v>
      </c>
      <c r="AG5" s="60">
        <f>SUMIF(Components!$B$3:$B$192,$B5,Components!AP$3:AP$192)</f>
        <v>0</v>
      </c>
      <c r="AH5" s="61"/>
      <c r="AI5" s="62">
        <f t="shared" si="1"/>
        <v>1369108</v>
      </c>
    </row>
    <row r="6" spans="1:37">
      <c r="A6" s="55">
        <v>3</v>
      </c>
      <c r="B6" s="1" t="s">
        <v>236</v>
      </c>
      <c r="C6" s="59"/>
      <c r="D6" s="60">
        <f>SUMIF(Components!$B$3:$B$192,$B6,Components!M$3:M$192)</f>
        <v>36698</v>
      </c>
      <c r="E6" s="60">
        <f>SUMIF(Components!$B$3:$B$192,$B6,Components!N$3:N$192)</f>
        <v>22579</v>
      </c>
      <c r="F6" s="60">
        <f>SUMIF(Components!$B$3:$B$192,$B6,Components!O$3:O$192)</f>
        <v>0</v>
      </c>
      <c r="G6" s="60">
        <f>SUMIF(Components!$B$3:$B$192,$B6,Components!P$3:P$192)</f>
        <v>0</v>
      </c>
      <c r="H6" s="60">
        <f>SUMIF(Components!$B$3:$B$192,$B6,Components!Q$3:Q$192)</f>
        <v>38342</v>
      </c>
      <c r="I6" s="60">
        <f>SUMIF(Components!$B$3:$B$192,$B6,Components!R$3:R$192)</f>
        <v>17399</v>
      </c>
      <c r="J6" s="60">
        <f>SUMIF(Components!$B$3:$B$192,$B6,Components!S$3:S$192)</f>
        <v>45111</v>
      </c>
      <c r="K6" s="60">
        <f>SUMIF(Components!$B$3:$B$192,$B6,Components!T$3:T$192)</f>
        <v>27756</v>
      </c>
      <c r="L6" s="60">
        <f>SUMIF(Components!$B$3:$B$192,$B6,Components!U$3:U$192)</f>
        <v>0</v>
      </c>
      <c r="M6" s="60">
        <f>SUMIF(Components!$B$3:$B$192,$B6,Components!V$3:V$192)</f>
        <v>0</v>
      </c>
      <c r="N6" s="60">
        <f>SUMIF(Components!$B$3:$B$192,$B6,Components!W$3:W$192)</f>
        <v>47132</v>
      </c>
      <c r="O6" s="60">
        <f>SUMIF(Components!$B$3:$B$192,$B6,Components!X$3:X$192)</f>
        <v>21388</v>
      </c>
      <c r="P6" s="60">
        <f>SUMIF(Components!$B$3:$B$192,$B6,Components!Y$3:Y$192)</f>
        <v>55453</v>
      </c>
      <c r="Q6" s="60">
        <f>SUMIF(Components!$B$3:$B$192,$B6,Components!Z$3:Z$192)</f>
        <v>34119</v>
      </c>
      <c r="R6" s="60">
        <f>SUMIF(Components!$B$3:$B$192,$B6,Components!AA$3:AA$192)</f>
        <v>0</v>
      </c>
      <c r="S6" s="60">
        <f>SUMIF(Components!$B$3:$B$192,$B6,Components!AB$3:AB$192)</f>
        <v>0</v>
      </c>
      <c r="T6" s="60">
        <f>SUMIF(Components!$B$3:$B$192,$B6,Components!AC$3:AC$192)</f>
        <v>57938</v>
      </c>
      <c r="U6" s="60">
        <f>SUMIF(Components!$B$3:$B$192,$B6,Components!AD$3:AD$192)</f>
        <v>26291</v>
      </c>
      <c r="V6" s="60">
        <f>SUMIF(Components!$B$3:$B$192,$B6,Components!AE$3:AE$192)</f>
        <v>68166</v>
      </c>
      <c r="W6" s="60">
        <f>SUMIF(Components!$B$3:$B$192,$B6,Components!AF$3:AF$192)</f>
        <v>41941</v>
      </c>
      <c r="X6" s="60">
        <f>SUMIF(Components!$B$3:$B$192,$B6,Components!AG$3:AG$192)</f>
        <v>0</v>
      </c>
      <c r="Y6" s="60">
        <f>SUMIF(Components!$B$3:$B$192,$B6,Components!AH$3:AH$192)</f>
        <v>0</v>
      </c>
      <c r="Z6" s="60">
        <f>SUMIF(Components!$B$3:$B$192,$B6,Components!AI$3:AI$192)</f>
        <v>71220</v>
      </c>
      <c r="AA6" s="60">
        <f>SUMIF(Components!$B$3:$B$192,$B6,Components!AJ$3:AJ$192)</f>
        <v>32318</v>
      </c>
      <c r="AB6" s="60">
        <f>SUMIF(Components!$B$3:$B$192,$B6,Components!AK$3:AK$192)</f>
        <v>0</v>
      </c>
      <c r="AC6" s="60">
        <f>SUMIF(Components!$B$3:$B$192,$B6,Components!AL$3:AL$192)</f>
        <v>0</v>
      </c>
      <c r="AD6" s="60">
        <f>SUMIF(Components!$B$3:$B$192,$B6,Components!AM$3:AM$192)</f>
        <v>0</v>
      </c>
      <c r="AE6" s="60">
        <f>SUMIF(Components!$B$3:$B$192,$B6,Components!AN$3:AN$192)</f>
        <v>0</v>
      </c>
      <c r="AF6" s="60">
        <f>SUMIF(Components!$B$3:$B$192,$B6,Components!AO$3:AO$192)</f>
        <v>0</v>
      </c>
      <c r="AG6" s="60">
        <f>SUMIF(Components!$B$3:$B$192,$B6,Components!AP$3:AP$192)</f>
        <v>0</v>
      </c>
      <c r="AH6" s="61"/>
      <c r="AI6" s="62">
        <f t="shared" si="1"/>
        <v>643851</v>
      </c>
    </row>
    <row r="7" spans="1:37">
      <c r="A7" s="55">
        <v>4</v>
      </c>
      <c r="B7" s="1" t="s">
        <v>287</v>
      </c>
      <c r="C7" s="59"/>
      <c r="D7" s="60">
        <f>SUMIF(Components!$B$3:$B$192,$B7,Components!M$3:M$192)</f>
        <v>0</v>
      </c>
      <c r="E7" s="60">
        <f>SUMIF(Components!$B$3:$B$192,$B7,Components!N$3:N$192)</f>
        <v>0</v>
      </c>
      <c r="F7" s="60">
        <f>SUMIF(Components!$B$3:$B$192,$B7,Components!O$3:O$192)</f>
        <v>0</v>
      </c>
      <c r="G7" s="60">
        <f>SUMIF(Components!$B$3:$B$192,$B7,Components!P$3:P$192)</f>
        <v>0</v>
      </c>
      <c r="H7" s="60">
        <f>SUMIF(Components!$B$3:$B$192,$B7,Components!Q$3:Q$192)</f>
        <v>0</v>
      </c>
      <c r="I7" s="60">
        <f>SUMIF(Components!$B$3:$B$192,$B7,Components!R$3:R$192)</f>
        <v>17210</v>
      </c>
      <c r="J7" s="60">
        <f>SUMIF(Components!$B$3:$B$192,$B7,Components!S$3:S$192)</f>
        <v>0</v>
      </c>
      <c r="K7" s="60">
        <f>SUMIF(Components!$B$3:$B$192,$B7,Components!T$3:T$192)</f>
        <v>40887</v>
      </c>
      <c r="L7" s="60">
        <f>SUMIF(Components!$B$3:$B$192,$B7,Components!U$3:U$192)</f>
        <v>0</v>
      </c>
      <c r="M7" s="60">
        <f>SUMIF(Components!$B$3:$B$192,$B7,Components!V$3:V$192)</f>
        <v>0</v>
      </c>
      <c r="N7" s="60">
        <f>SUMIF(Components!$B$3:$B$192,$B7,Components!W$3:W$192)</f>
        <v>0</v>
      </c>
      <c r="O7" s="60">
        <f>SUMIF(Components!$B$3:$B$192,$B7,Components!X$3:X$192)</f>
        <v>0</v>
      </c>
      <c r="P7" s="60">
        <f>SUMIF(Components!$B$3:$B$192,$B7,Components!Y$3:Y$192)</f>
        <v>0</v>
      </c>
      <c r="Q7" s="60">
        <f>SUMIF(Components!$B$3:$B$192,$B7,Components!Z$3:Z$192)</f>
        <v>51003</v>
      </c>
      <c r="R7" s="60">
        <f>SUMIF(Components!$B$3:$B$192,$B7,Components!AA$3:AA$192)</f>
        <v>0</v>
      </c>
      <c r="S7" s="60">
        <f>SUMIF(Components!$B$3:$B$192,$B7,Components!AB$3:AB$192)</f>
        <v>52022</v>
      </c>
      <c r="T7" s="60">
        <f>SUMIF(Components!$B$3:$B$192,$B7,Components!AC$3:AC$192)</f>
        <v>0</v>
      </c>
      <c r="U7" s="60">
        <f>SUMIF(Components!$B$3:$B$192,$B7,Components!AD$3:AD$192)</f>
        <v>0</v>
      </c>
      <c r="V7" s="60">
        <f>SUMIF(Components!$B$3:$B$192,$B7,Components!AE$3:AE$192)</f>
        <v>0</v>
      </c>
      <c r="W7" s="60">
        <f>SUMIF(Components!$B$3:$B$192,$B7,Components!AF$3:AF$192)</f>
        <v>0</v>
      </c>
      <c r="X7" s="60">
        <f>SUMIF(Components!$B$3:$B$192,$B7,Components!AG$3:AG$192)</f>
        <v>0</v>
      </c>
      <c r="Y7" s="60">
        <f>SUMIF(Components!$B$3:$B$192,$B7,Components!AH$3:AH$192)</f>
        <v>29841</v>
      </c>
      <c r="Z7" s="60">
        <f>SUMIF(Components!$B$3:$B$192,$B7,Components!AI$3:AI$192)</f>
        <v>0</v>
      </c>
      <c r="AA7" s="60">
        <f>SUMIF(Components!$B$3:$B$192,$B7,Components!AJ$3:AJ$192)</f>
        <v>0</v>
      </c>
      <c r="AB7" s="60">
        <f>SUMIF(Components!$B$3:$B$192,$B7,Components!AK$3:AK$192)</f>
        <v>0</v>
      </c>
      <c r="AC7" s="60">
        <f>SUMIF(Components!$B$3:$B$192,$B7,Components!AL$3:AL$192)</f>
        <v>0</v>
      </c>
      <c r="AD7" s="60">
        <f>SUMIF(Components!$B$3:$B$192,$B7,Components!AM$3:AM$192)</f>
        <v>0</v>
      </c>
      <c r="AE7" s="60">
        <f>SUMIF(Components!$B$3:$B$192,$B7,Components!AN$3:AN$192)</f>
        <v>0</v>
      </c>
      <c r="AF7" s="60">
        <f>SUMIF(Components!$B$3:$B$192,$B7,Components!AO$3:AO$192)</f>
        <v>0</v>
      </c>
      <c r="AG7" s="60">
        <f>SUMIF(Components!$B$3:$B$192,$B7,Components!AP$3:AP$192)</f>
        <v>39295</v>
      </c>
      <c r="AH7" s="53"/>
      <c r="AI7" s="62">
        <f t="shared" si="1"/>
        <v>230258</v>
      </c>
    </row>
    <row r="8" spans="1:37">
      <c r="A8" s="55">
        <v>5</v>
      </c>
      <c r="B8" s="1" t="s">
        <v>325</v>
      </c>
      <c r="C8" s="59"/>
      <c r="D8" s="60">
        <f>SUMIF(Components!$B$3:$B$192,$B8,Components!M$3:M$192)</f>
        <v>0</v>
      </c>
      <c r="E8" s="60">
        <f>SUMIF(Components!$B$3:$B$192,$B8,Components!N$3:N$192)</f>
        <v>55852</v>
      </c>
      <c r="F8" s="60">
        <f>SUMIF(Components!$B$3:$B$192,$B8,Components!O$3:O$192)</f>
        <v>39496</v>
      </c>
      <c r="G8" s="60">
        <f>SUMIF(Components!$B$3:$B$192,$B8,Components!P$3:P$192)</f>
        <v>22002</v>
      </c>
      <c r="H8" s="60">
        <f>SUMIF(Components!$B$3:$B$192,$B8,Components!Q$3:Q$192)</f>
        <v>0</v>
      </c>
      <c r="I8" s="60">
        <f>SUMIF(Components!$B$3:$B$192,$B8,Components!R$3:R$192)</f>
        <v>0</v>
      </c>
      <c r="J8" s="60">
        <f>SUMIF(Components!$B$3:$B$192,$B8,Components!S$3:S$192)</f>
        <v>0</v>
      </c>
      <c r="K8" s="60">
        <f>SUMIF(Components!$B$3:$B$192,$B8,Components!T$3:T$192)</f>
        <v>30221</v>
      </c>
      <c r="L8" s="60">
        <f>SUMIF(Components!$B$3:$B$192,$B8,Components!U$3:U$192)</f>
        <v>26131</v>
      </c>
      <c r="M8" s="60">
        <f>SUMIF(Components!$B$3:$B$192,$B8,Components!V$3:V$192)</f>
        <v>90761</v>
      </c>
      <c r="N8" s="60">
        <f>SUMIF(Components!$B$3:$B$192,$B8,Components!W$3:W$192)</f>
        <v>0</v>
      </c>
      <c r="O8" s="60">
        <f>SUMIF(Components!$B$3:$B$192,$B8,Components!X$3:X$192)</f>
        <v>0</v>
      </c>
      <c r="P8" s="60">
        <f>SUMIF(Components!$B$3:$B$192,$B8,Components!Y$3:Y$192)</f>
        <v>55713</v>
      </c>
      <c r="Q8" s="60">
        <f>SUMIF(Components!$B$3:$B$192,$B8,Components!Z$3:Z$192)</f>
        <v>31036</v>
      </c>
      <c r="R8" s="60">
        <f>SUMIF(Components!$B$3:$B$192,$B8,Components!AA$3:AA$192)</f>
        <v>0</v>
      </c>
      <c r="S8" s="60">
        <f>SUMIF(Components!$B$3:$B$192,$B8,Components!AB$3:AB$192)</f>
        <v>0</v>
      </c>
      <c r="T8" s="60">
        <f>SUMIF(Components!$B$3:$B$192,$B8,Components!AC$3:AC$192)</f>
        <v>0</v>
      </c>
      <c r="U8" s="60">
        <f>SUMIF(Components!$B$3:$B$192,$B8,Components!AD$3:AD$192)</f>
        <v>96846</v>
      </c>
      <c r="V8" s="60">
        <f>SUMIF(Components!$B$3:$B$192,$B8,Components!AE$3:AE$192)</f>
        <v>36861</v>
      </c>
      <c r="W8" s="60">
        <f>SUMIF(Components!$B$3:$B$192,$B8,Components!AF$3:AF$192)</f>
        <v>24283</v>
      </c>
      <c r="X8" s="60">
        <f>SUMIF(Components!$B$3:$B$192,$B8,Components!AG$3:AG$192)</f>
        <v>0</v>
      </c>
      <c r="Y8" s="60">
        <f>SUMIF(Components!$B$3:$B$192,$B8,Components!AH$3:AH$192)</f>
        <v>0</v>
      </c>
      <c r="Z8" s="60">
        <f>SUMIF(Components!$B$3:$B$192,$B8,Components!AI$3:AI$192)</f>
        <v>129219</v>
      </c>
      <c r="AA8" s="60">
        <f>SUMIF(Components!$B$3:$B$192,$B8,Components!AJ$3:AJ$192)</f>
        <v>43779</v>
      </c>
      <c r="AB8" s="60">
        <f>SUMIF(Components!$B$3:$B$192,$B8,Components!AK$3:AK$192)</f>
        <v>0</v>
      </c>
      <c r="AC8" s="60">
        <f>SUMIF(Components!$B$3:$B$192,$B8,Components!AL$3:AL$192)</f>
        <v>127528</v>
      </c>
      <c r="AD8" s="60">
        <f>SUMIF(Components!$B$3:$B$192,$B8,Components!AM$3:AM$192)</f>
        <v>0</v>
      </c>
      <c r="AE8" s="60">
        <f>SUMIF(Components!$B$3:$B$192,$B8,Components!AN$3:AN$192)</f>
        <v>0</v>
      </c>
      <c r="AF8" s="60">
        <f>SUMIF(Components!$B$3:$B$192,$B8,Components!AO$3:AO$192)</f>
        <v>51996</v>
      </c>
      <c r="AG8" s="60">
        <f>SUMIF(Components!$B$3:$B$192,$B8,Components!AP$3:AP$192)</f>
        <v>34254</v>
      </c>
      <c r="AH8" s="53"/>
      <c r="AI8" s="62">
        <f t="shared" si="1"/>
        <v>895978</v>
      </c>
    </row>
    <row r="9" spans="1:37">
      <c r="A9" s="55">
        <v>6</v>
      </c>
      <c r="B9" s="1" t="s">
        <v>295</v>
      </c>
      <c r="C9" s="59"/>
      <c r="D9" s="60">
        <f>SUMIF(Components!$B$3:$B$192,$B9,Components!M$3:M$192)</f>
        <v>0</v>
      </c>
      <c r="E9" s="60">
        <f>SUMIF(Components!$B$3:$B$192,$B9,Components!N$3:N$192)</f>
        <v>10903</v>
      </c>
      <c r="F9" s="60">
        <f>SUMIF(Components!$B$3:$B$192,$B9,Components!O$3:O$192)</f>
        <v>0</v>
      </c>
      <c r="G9" s="60">
        <f>SUMIF(Components!$B$3:$B$192,$B9,Components!P$3:P$192)</f>
        <v>0</v>
      </c>
      <c r="H9" s="60">
        <f>SUMIF(Components!$B$3:$B$192,$B9,Components!Q$3:Q$192)</f>
        <v>18986</v>
      </c>
      <c r="I9" s="60">
        <f>SUMIF(Components!$B$3:$B$192,$B9,Components!R$3:R$192)</f>
        <v>0</v>
      </c>
      <c r="J9" s="60">
        <f>SUMIF(Components!$B$3:$B$192,$B9,Components!S$3:S$192)</f>
        <v>12950</v>
      </c>
      <c r="K9" s="60">
        <f>SUMIF(Components!$B$3:$B$192,$B9,Components!T$3:T$192)</f>
        <v>501196</v>
      </c>
      <c r="L9" s="60">
        <f>SUMIF(Components!$B$3:$B$192,$B9,Components!U$3:U$192)</f>
        <v>0</v>
      </c>
      <c r="M9" s="60">
        <f>SUMIF(Components!$B$3:$B$192,$B9,Components!V$3:V$192)</f>
        <v>0</v>
      </c>
      <c r="N9" s="60">
        <f>SUMIF(Components!$B$3:$B$192,$B9,Components!W$3:W$192)</f>
        <v>0</v>
      </c>
      <c r="O9" s="60">
        <f>SUMIF(Components!$B$3:$B$192,$B9,Components!X$3:X$192)</f>
        <v>15380</v>
      </c>
      <c r="P9" s="60">
        <f>SUMIF(Components!$B$3:$B$192,$B9,Components!Y$3:Y$192)</f>
        <v>397958</v>
      </c>
      <c r="Q9" s="60">
        <f>SUMIF(Components!$B$3:$B$192,$B9,Components!Z$3:Z$192)</f>
        <v>0</v>
      </c>
      <c r="R9" s="60">
        <f>SUMIF(Components!$B$3:$B$192,$B9,Components!AA$3:AA$192)</f>
        <v>0</v>
      </c>
      <c r="S9" s="60">
        <f>SUMIF(Components!$B$3:$B$192,$B9,Components!AB$3:AB$192)</f>
        <v>0</v>
      </c>
      <c r="T9" s="60">
        <f>SUMIF(Components!$B$3:$B$192,$B9,Components!AC$3:AC$192)</f>
        <v>18267</v>
      </c>
      <c r="U9" s="60">
        <f>SUMIF(Components!$B$3:$B$192,$B9,Components!AD$3:AD$192)</f>
        <v>0</v>
      </c>
      <c r="V9" s="60">
        <f>SUMIF(Components!$B$3:$B$192,$B9,Components!AE$3:AE$192)</f>
        <v>0</v>
      </c>
      <c r="W9" s="60">
        <f>SUMIF(Components!$B$3:$B$192,$B9,Components!AF$3:AF$192)</f>
        <v>31808</v>
      </c>
      <c r="X9" s="60">
        <f>SUMIF(Components!$B$3:$B$192,$B9,Components!AG$3:AG$192)</f>
        <v>0</v>
      </c>
      <c r="Y9" s="60">
        <f>SUMIF(Components!$B$3:$B$192,$B9,Components!AH$3:AH$192)</f>
        <v>21695</v>
      </c>
      <c r="Z9" s="60">
        <f>SUMIF(Components!$B$3:$B$192,$B9,Components!AI$3:AI$192)</f>
        <v>839671</v>
      </c>
      <c r="AA9" s="60">
        <f>SUMIF(Components!$B$3:$B$192,$B9,Components!AJ$3:AJ$192)</f>
        <v>0</v>
      </c>
      <c r="AB9" s="60">
        <f>SUMIF(Components!$B$3:$B$192,$B9,Components!AK$3:AK$192)</f>
        <v>0</v>
      </c>
      <c r="AC9" s="60">
        <f>SUMIF(Components!$B$3:$B$192,$B9,Components!AL$3:AL$192)</f>
        <v>0</v>
      </c>
      <c r="AD9" s="60">
        <f>SUMIF(Components!$B$3:$B$192,$B9,Components!AM$3:AM$192)</f>
        <v>25767</v>
      </c>
      <c r="AE9" s="60">
        <f>SUMIF(Components!$B$3:$B$192,$B9,Components!AN$3:AN$192)</f>
        <v>0</v>
      </c>
      <c r="AF9" s="60">
        <f>SUMIF(Components!$B$3:$B$192,$B9,Components!AO$3:AO$192)</f>
        <v>0</v>
      </c>
      <c r="AG9" s="60">
        <f>SUMIF(Components!$B$3:$B$192,$B9,Components!AP$3:AP$192)</f>
        <v>0</v>
      </c>
      <c r="AH9" s="53"/>
      <c r="AI9" s="62">
        <f t="shared" si="1"/>
        <v>1894581</v>
      </c>
      <c r="AJ9" s="17"/>
      <c r="AK9" s="2"/>
    </row>
    <row r="10" spans="1:37">
      <c r="A10" s="55">
        <v>7</v>
      </c>
      <c r="B10" s="1" t="s">
        <v>296</v>
      </c>
      <c r="C10" s="63"/>
      <c r="D10" s="60">
        <f>SUMIF(Components!$B$3:$B$192,$B10,Components!M$3:M$192)</f>
        <v>0</v>
      </c>
      <c r="E10" s="60">
        <f>SUMIF(Components!$B$3:$B$192,$B10,Components!N$3:N$192)</f>
        <v>0</v>
      </c>
      <c r="F10" s="60">
        <f>SUMIF(Components!$B$3:$B$192,$B10,Components!O$3:O$192)</f>
        <v>52672</v>
      </c>
      <c r="G10" s="60">
        <f>SUMIF(Components!$B$3:$B$192,$B10,Components!P$3:P$192)</f>
        <v>0</v>
      </c>
      <c r="H10" s="60">
        <f>SUMIF(Components!$B$3:$B$192,$B10,Components!Q$3:Q$192)</f>
        <v>0</v>
      </c>
      <c r="I10" s="60">
        <f>SUMIF(Components!$B$3:$B$192,$B10,Components!R$3:R$192)</f>
        <v>0</v>
      </c>
      <c r="J10" s="60">
        <f>SUMIF(Components!$B$3:$B$192,$B10,Components!S$3:S$192)</f>
        <v>0</v>
      </c>
      <c r="K10" s="60">
        <f>SUMIF(Components!$B$3:$B$192,$B10,Components!T$3:T$192)</f>
        <v>0</v>
      </c>
      <c r="L10" s="60">
        <f>SUMIF(Components!$B$3:$B$192,$B10,Components!U$3:U$192)</f>
        <v>0</v>
      </c>
      <c r="M10" s="60">
        <f>SUMIF(Components!$B$3:$B$192,$B10,Components!V$3:V$192)</f>
        <v>0</v>
      </c>
      <c r="N10" s="60">
        <f>SUMIF(Components!$B$3:$B$192,$B10,Components!W$3:W$192)</f>
        <v>0</v>
      </c>
      <c r="O10" s="60">
        <f>SUMIF(Components!$B$3:$B$192,$B10,Components!X$3:X$192)</f>
        <v>0</v>
      </c>
      <c r="P10" s="60">
        <f>SUMIF(Components!$B$3:$B$192,$B10,Components!Y$3:Y$192)</f>
        <v>74300</v>
      </c>
      <c r="Q10" s="60">
        <f>SUMIF(Components!$B$3:$B$192,$B10,Components!Z$3:Z$192)</f>
        <v>0</v>
      </c>
      <c r="R10" s="60">
        <f>SUMIF(Components!$B$3:$B$192,$B10,Components!AA$3:AA$192)</f>
        <v>0</v>
      </c>
      <c r="S10" s="60">
        <f>SUMIF(Components!$B$3:$B$192,$B10,Components!AB$3:AB$192)</f>
        <v>0</v>
      </c>
      <c r="T10" s="60">
        <f>SUMIF(Components!$B$3:$B$192,$B10,Components!AC$3:AC$192)</f>
        <v>17947</v>
      </c>
      <c r="U10" s="60">
        <f>SUMIF(Components!$B$3:$B$192,$B10,Components!AD$3:AD$192)</f>
        <v>698078</v>
      </c>
      <c r="V10" s="60">
        <f>SUMIF(Components!$B$3:$B$192,$B10,Components!AE$3:AE$192)</f>
        <v>0</v>
      </c>
      <c r="W10" s="60">
        <f>SUMIF(Components!$B$3:$B$192,$B10,Components!AF$3:AF$192)</f>
        <v>0</v>
      </c>
      <c r="X10" s="60">
        <f>SUMIF(Components!$B$3:$B$192,$B10,Components!AG$3:AG$192)</f>
        <v>0</v>
      </c>
      <c r="Y10" s="60">
        <f>SUMIF(Components!$B$3:$B$192,$B10,Components!AH$3:AH$192)</f>
        <v>0</v>
      </c>
      <c r="Z10" s="60">
        <f>SUMIF(Components!$B$3:$B$192,$B10,Components!AI$3:AI$192)</f>
        <v>181465</v>
      </c>
      <c r="AA10" s="60">
        <f>SUMIF(Components!$B$3:$B$192,$B10,Components!AJ$3:AJ$192)</f>
        <v>0</v>
      </c>
      <c r="AB10" s="60">
        <f>SUMIF(Components!$B$3:$B$192,$B10,Components!AK$3:AK$192)</f>
        <v>0</v>
      </c>
      <c r="AC10" s="60">
        <f>SUMIF(Components!$B$3:$B$192,$B10,Components!AL$3:AL$192)</f>
        <v>0</v>
      </c>
      <c r="AD10" s="60">
        <f>SUMIF(Components!$B$3:$B$192,$B10,Components!AM$3:AM$192)</f>
        <v>0</v>
      </c>
      <c r="AE10" s="60">
        <f>SUMIF(Components!$B$3:$B$192,$B10,Components!AN$3:AN$192)</f>
        <v>0</v>
      </c>
      <c r="AF10" s="60">
        <f>SUMIF(Components!$B$3:$B$192,$B10,Components!AO$3:AO$192)</f>
        <v>0</v>
      </c>
      <c r="AG10" s="60">
        <f>SUMIF(Components!$B$3:$B$192,$B10,Components!AP$3:AP$192)</f>
        <v>0</v>
      </c>
      <c r="AH10" s="17"/>
      <c r="AI10" s="62">
        <f t="shared" si="1"/>
        <v>1024462</v>
      </c>
      <c r="AJ10" s="17"/>
      <c r="AK10" s="2"/>
    </row>
    <row r="11" spans="1:37">
      <c r="A11" s="55">
        <v>8</v>
      </c>
      <c r="B11" s="1" t="s">
        <v>244</v>
      </c>
      <c r="C11" s="64"/>
      <c r="D11" s="60">
        <f>SUMIF(Components!$B$3:$B$192,$B11,Components!M$3:M$192)</f>
        <v>20700</v>
      </c>
      <c r="E11" s="60">
        <f>SUMIF(Components!$B$3:$B$192,$B11,Components!N$3:N$192)</f>
        <v>16672</v>
      </c>
      <c r="F11" s="60">
        <f>SUMIF(Components!$B$3:$B$192,$B11,Components!O$3:O$192)</f>
        <v>153718</v>
      </c>
      <c r="G11" s="60">
        <f>SUMIF(Components!$B$3:$B$192,$B11,Components!P$3:P$192)</f>
        <v>0</v>
      </c>
      <c r="H11" s="60">
        <f>SUMIF(Components!$B$3:$B$192,$B11,Components!Q$3:Q$192)</f>
        <v>7376</v>
      </c>
      <c r="I11" s="60">
        <f>SUMIF(Components!$B$3:$B$192,$B11,Components!R$3:R$192)</f>
        <v>0</v>
      </c>
      <c r="J11" s="60">
        <f>SUMIF(Components!$B$3:$B$192,$B11,Components!S$3:S$192)</f>
        <v>0</v>
      </c>
      <c r="K11" s="60">
        <f>SUMIF(Components!$B$3:$B$192,$B11,Components!T$3:T$192)</f>
        <v>362874</v>
      </c>
      <c r="L11" s="60">
        <f>SUMIF(Components!$B$3:$B$192,$B11,Components!U$3:U$192)</f>
        <v>0</v>
      </c>
      <c r="M11" s="60">
        <f>SUMIF(Components!$B$3:$B$192,$B11,Components!V$3:V$192)</f>
        <v>29129</v>
      </c>
      <c r="N11" s="60">
        <f>SUMIF(Components!$B$3:$B$192,$B11,Components!W$3:W$192)</f>
        <v>51921</v>
      </c>
      <c r="O11" s="60">
        <f>SUMIF(Components!$B$3:$B$192,$B11,Components!X$3:X$192)</f>
        <v>0</v>
      </c>
      <c r="P11" s="60">
        <f>SUMIF(Components!$B$3:$B$192,$B11,Components!Y$3:Y$192)</f>
        <v>206532</v>
      </c>
      <c r="Q11" s="60">
        <f>SUMIF(Components!$B$3:$B$192,$B11,Components!Z$3:Z$192)</f>
        <v>0</v>
      </c>
      <c r="R11" s="60">
        <f>SUMIF(Components!$B$3:$B$192,$B11,Components!AA$3:AA$192)</f>
        <v>0</v>
      </c>
      <c r="S11" s="60">
        <f>SUMIF(Components!$B$3:$B$192,$B11,Components!AB$3:AB$192)</f>
        <v>0</v>
      </c>
      <c r="T11" s="60">
        <f>SUMIF(Components!$B$3:$B$192,$B11,Components!AC$3:AC$192)</f>
        <v>11145</v>
      </c>
      <c r="U11" s="60">
        <f>SUMIF(Components!$B$3:$B$192,$B11,Components!AD$3:AD$192)</f>
        <v>0</v>
      </c>
      <c r="V11" s="60">
        <f>SUMIF(Components!$B$3:$B$192,$B11,Components!AE$3:AE$192)</f>
        <v>0</v>
      </c>
      <c r="W11" s="60">
        <f>SUMIF(Components!$B$3:$B$192,$B11,Components!AF$3:AF$192)</f>
        <v>72057</v>
      </c>
      <c r="X11" s="60">
        <f>SUMIF(Components!$B$3:$B$192,$B11,Components!AG$3:AG$192)</f>
        <v>41189</v>
      </c>
      <c r="Y11" s="60">
        <f>SUMIF(Components!$B$3:$B$192,$B11,Components!AH$3:AH$192)</f>
        <v>0</v>
      </c>
      <c r="Z11" s="60">
        <f>SUMIF(Components!$B$3:$B$192,$B11,Components!AI$3:AI$192)</f>
        <v>886071</v>
      </c>
      <c r="AA11" s="60">
        <f>SUMIF(Components!$B$3:$B$192,$B11,Components!AJ$3:AJ$192)</f>
        <v>0</v>
      </c>
      <c r="AB11" s="60">
        <f>SUMIF(Components!$B$3:$B$192,$B11,Components!AK$3:AK$192)</f>
        <v>0</v>
      </c>
      <c r="AC11" s="60">
        <f>SUMIF(Components!$B$3:$B$192,$B11,Components!AL$3:AL$192)</f>
        <v>0</v>
      </c>
      <c r="AD11" s="60">
        <f>SUMIF(Components!$B$3:$B$192,$B11,Components!AM$3:AM$192)</f>
        <v>0</v>
      </c>
      <c r="AE11" s="60">
        <f>SUMIF(Components!$B$3:$B$192,$B11,Components!AN$3:AN$192)</f>
        <v>87178</v>
      </c>
      <c r="AF11" s="60">
        <f>SUMIF(Components!$B$3:$B$192,$B11,Components!AO$3:AO$192)</f>
        <v>59047</v>
      </c>
      <c r="AG11" s="60">
        <f>SUMIF(Components!$B$3:$B$192,$B11,Components!AP$3:AP$192)</f>
        <v>57960</v>
      </c>
      <c r="AI11" s="62">
        <f t="shared" si="1"/>
        <v>2063569</v>
      </c>
      <c r="AJ11" s="17"/>
      <c r="AK11" s="2"/>
    </row>
    <row r="12" spans="1:37">
      <c r="A12" s="55">
        <v>9</v>
      </c>
      <c r="B12" s="1" t="s">
        <v>288</v>
      </c>
      <c r="C12" s="64"/>
      <c r="D12" s="60">
        <f>SUMIF(Components!$B$3:$B$192,$B12,Components!M$3:M$192)</f>
        <v>0</v>
      </c>
      <c r="E12" s="60">
        <f>SUMIF(Components!$B$3:$B$192,$B12,Components!N$3:N$192)</f>
        <v>0</v>
      </c>
      <c r="F12" s="60">
        <f>SUMIF(Components!$B$3:$B$192,$B12,Components!O$3:O$192)</f>
        <v>17361</v>
      </c>
      <c r="G12" s="60">
        <f>SUMIF(Components!$B$3:$B$192,$B12,Components!P$3:P$192)</f>
        <v>0</v>
      </c>
      <c r="H12" s="60">
        <f>SUMIF(Components!$B$3:$B$192,$B12,Components!Q$3:Q$192)</f>
        <v>12089</v>
      </c>
      <c r="I12" s="60">
        <f>SUMIF(Components!$B$3:$B$192,$B12,Components!R$3:R$192)</f>
        <v>0</v>
      </c>
      <c r="J12" s="60">
        <f>SUMIF(Components!$B$3:$B$192,$B12,Components!S$3:S$192)</f>
        <v>0</v>
      </c>
      <c r="K12" s="60">
        <f>SUMIF(Components!$B$3:$B$192,$B12,Components!T$3:T$192)</f>
        <v>164050</v>
      </c>
      <c r="L12" s="60">
        <f>SUMIF(Components!$B$3:$B$192,$B12,Components!U$3:U$192)</f>
        <v>80594</v>
      </c>
      <c r="M12" s="60">
        <f>SUMIF(Components!$B$3:$B$192,$B12,Components!V$3:V$192)</f>
        <v>14357</v>
      </c>
      <c r="N12" s="60">
        <f>SUMIF(Components!$B$3:$B$192,$B12,Components!W$3:W$192)</f>
        <v>0</v>
      </c>
      <c r="O12" s="60">
        <f>SUMIF(Components!$B$3:$B$192,$B12,Components!X$3:X$192)</f>
        <v>0</v>
      </c>
      <c r="P12" s="60">
        <f>SUMIF(Components!$B$3:$B$192,$B12,Components!Y$3:Y$192)</f>
        <v>201503</v>
      </c>
      <c r="Q12" s="60">
        <f>SUMIF(Components!$B$3:$B$192,$B12,Components!Z$3:Z$192)</f>
        <v>35612</v>
      </c>
      <c r="R12" s="60">
        <f>SUMIF(Components!$B$3:$B$192,$B12,Components!AA$3:AA$192)</f>
        <v>78768</v>
      </c>
      <c r="S12" s="60">
        <f>SUMIF(Components!$B$3:$B$192,$B12,Components!AB$3:AB$192)</f>
        <v>0</v>
      </c>
      <c r="T12" s="60">
        <f>SUMIF(Components!$B$3:$B$192,$B12,Components!AC$3:AC$192)</f>
        <v>0</v>
      </c>
      <c r="U12" s="60">
        <f>SUMIF(Components!$B$3:$B$192,$B12,Components!AD$3:AD$192)</f>
        <v>16458</v>
      </c>
      <c r="V12" s="60">
        <f>SUMIF(Components!$B$3:$B$192,$B12,Components!AE$3:AE$192)</f>
        <v>9613</v>
      </c>
      <c r="W12" s="60">
        <f>SUMIF(Components!$B$3:$B$192,$B12,Components!AF$3:AF$192)</f>
        <v>20253</v>
      </c>
      <c r="X12" s="60">
        <f>SUMIF(Components!$B$3:$B$192,$B12,Components!AG$3:AG$192)</f>
        <v>0</v>
      </c>
      <c r="Y12" s="60">
        <f>SUMIF(Components!$B$3:$B$192,$B12,Components!AH$3:AH$192)</f>
        <v>0</v>
      </c>
      <c r="Z12" s="60">
        <f>SUMIF(Components!$B$3:$B$192,$B12,Components!AI$3:AI$192)</f>
        <v>309387</v>
      </c>
      <c r="AA12" s="60">
        <f>SUMIF(Components!$B$3:$B$192,$B12,Components!AJ$3:AJ$192)</f>
        <v>123608</v>
      </c>
      <c r="AB12" s="60">
        <f>SUMIF(Components!$B$3:$B$192,$B12,Components!AK$3:AK$192)</f>
        <v>24054</v>
      </c>
      <c r="AC12" s="60">
        <f>SUMIF(Components!$B$3:$B$192,$B12,Components!AL$3:AL$192)</f>
        <v>0</v>
      </c>
      <c r="AD12" s="60">
        <f>SUMIF(Components!$B$3:$B$192,$B12,Components!AM$3:AM$192)</f>
        <v>0</v>
      </c>
      <c r="AE12" s="60">
        <f>SUMIF(Components!$B$3:$B$192,$B12,Components!AN$3:AN$192)</f>
        <v>0</v>
      </c>
      <c r="AF12" s="60">
        <f>SUMIF(Components!$B$3:$B$192,$B12,Components!AO$3:AO$192)</f>
        <v>13559</v>
      </c>
      <c r="AG12" s="60">
        <f>SUMIF(Components!$B$3:$B$192,$B12,Components!AP$3:AP$192)</f>
        <v>131964</v>
      </c>
      <c r="AI12" s="62">
        <f t="shared" si="1"/>
        <v>1253230</v>
      </c>
    </row>
    <row r="13" spans="1:37">
      <c r="A13" s="55">
        <v>10</v>
      </c>
      <c r="B13" s="1" t="s">
        <v>289</v>
      </c>
      <c r="C13" s="63"/>
      <c r="D13" s="60">
        <f>SUMIF(Components!$B$3:$B$192,$B13,Components!M$3:M$192)</f>
        <v>10793</v>
      </c>
      <c r="E13" s="60">
        <f>SUMIF(Components!$B$3:$B$192,$B13,Components!N$3:N$192)</f>
        <v>0</v>
      </c>
      <c r="F13" s="60">
        <f>SUMIF(Components!$B$3:$B$192,$B13,Components!O$3:O$192)</f>
        <v>48766</v>
      </c>
      <c r="G13" s="60">
        <f>SUMIF(Components!$B$3:$B$192,$B13,Components!P$3:P$192)</f>
        <v>55719</v>
      </c>
      <c r="H13" s="60">
        <f>SUMIF(Components!$B$3:$B$192,$B13,Components!Q$3:Q$192)</f>
        <v>0</v>
      </c>
      <c r="I13" s="60">
        <f>SUMIF(Components!$B$3:$B$192,$B13,Components!R$3:R$192)</f>
        <v>12818</v>
      </c>
      <c r="J13" s="60">
        <f>SUMIF(Components!$B$3:$B$192,$B13,Components!S$3:S$192)</f>
        <v>0</v>
      </c>
      <c r="K13" s="60">
        <f>SUMIF(Components!$B$3:$B$192,$B13,Components!T$3:T$192)</f>
        <v>258520</v>
      </c>
      <c r="L13" s="60">
        <f>SUMIF(Components!$B$3:$B$192,$B13,Components!U$3:U$192)</f>
        <v>71225</v>
      </c>
      <c r="M13" s="60">
        <f>SUMIF(Components!$B$3:$B$192,$B13,Components!V$3:V$192)</f>
        <v>0</v>
      </c>
      <c r="N13" s="60">
        <f>SUMIF(Components!$B$3:$B$192,$B13,Components!W$3:W$192)</f>
        <v>15224</v>
      </c>
      <c r="O13" s="60">
        <f>SUMIF(Components!$B$3:$B$192,$B13,Components!X$3:X$192)</f>
        <v>0</v>
      </c>
      <c r="P13" s="60">
        <f>SUMIF(Components!$B$3:$B$192,$B13,Components!Y$3:Y$192)</f>
        <v>68789</v>
      </c>
      <c r="Q13" s="60">
        <f>SUMIF(Components!$B$3:$B$192,$B13,Components!Z$3:Z$192)</f>
        <v>78597</v>
      </c>
      <c r="R13" s="60">
        <f>SUMIF(Components!$B$3:$B$192,$B13,Components!AA$3:AA$192)</f>
        <v>0</v>
      </c>
      <c r="S13" s="60">
        <f>SUMIF(Components!$B$3:$B$192,$B13,Components!AB$3:AB$192)</f>
        <v>27406</v>
      </c>
      <c r="T13" s="60">
        <f>SUMIF(Components!$B$3:$B$192,$B13,Components!AC$3:AC$192)</f>
        <v>0</v>
      </c>
      <c r="U13" s="60">
        <f>SUMIF(Components!$B$3:$B$192,$B13,Components!AD$3:AD$192)</f>
        <v>0</v>
      </c>
      <c r="V13" s="60">
        <f>SUMIF(Components!$B$3:$B$192,$B13,Components!AE$3:AE$192)</f>
        <v>54511</v>
      </c>
      <c r="W13" s="60">
        <f>SUMIF(Components!$B$3:$B$192,$B13,Components!AF$3:AF$192)</f>
        <v>89540</v>
      </c>
      <c r="X13" s="60">
        <f>SUMIF(Components!$B$3:$B$192,$B13,Components!AG$3:AG$192)</f>
        <v>21475</v>
      </c>
      <c r="Y13" s="60">
        <f>SUMIF(Components!$B$3:$B$192,$B13,Components!AH$3:AH$192)</f>
        <v>0</v>
      </c>
      <c r="Z13" s="60">
        <f>SUMIF(Components!$B$3:$B$192,$B13,Components!AI$3:AI$192)</f>
        <v>617357</v>
      </c>
      <c r="AA13" s="60">
        <f>SUMIF(Components!$B$3:$B$192,$B13,Components!AJ$3:AJ$192)</f>
        <v>177733</v>
      </c>
      <c r="AB13" s="60">
        <f>SUMIF(Components!$B$3:$B$192,$B13,Components!AK$3:AK$192)</f>
        <v>0</v>
      </c>
      <c r="AC13" s="60">
        <f>SUMIF(Components!$B$3:$B$192,$B13,Components!AL$3:AL$192)</f>
        <v>25506</v>
      </c>
      <c r="AD13" s="60">
        <f>SUMIF(Components!$B$3:$B$192,$B13,Components!AM$3:AM$192)</f>
        <v>0</v>
      </c>
      <c r="AE13" s="60">
        <f>SUMIF(Components!$B$3:$B$192,$B13,Components!AN$3:AN$192)</f>
        <v>0</v>
      </c>
      <c r="AF13" s="60">
        <f>SUMIF(Components!$B$3:$B$192,$B13,Components!AO$3:AO$192)</f>
        <v>76893</v>
      </c>
      <c r="AG13" s="60">
        <f>SUMIF(Components!$B$3:$B$192,$B13,Components!AP$3:AP$192)</f>
        <v>0</v>
      </c>
      <c r="AH13" s="17"/>
      <c r="AI13" s="62">
        <f t="shared" si="1"/>
        <v>1710872</v>
      </c>
    </row>
    <row r="14" spans="1:37">
      <c r="A14" s="55">
        <v>11</v>
      </c>
      <c r="B14" s="1" t="s">
        <v>292</v>
      </c>
      <c r="C14" s="64"/>
      <c r="D14" s="60">
        <f>SUMIF(Components!$B$3:$B$192,$B14,Components!M$3:M$192)</f>
        <v>20950</v>
      </c>
      <c r="E14" s="60">
        <f>SUMIF(Components!$B$3:$B$192,$B14,Components!N$3:N$192)</f>
        <v>7047</v>
      </c>
      <c r="F14" s="60">
        <f>SUMIF(Components!$B$3:$B$192,$B14,Components!O$3:O$192)</f>
        <v>258144</v>
      </c>
      <c r="G14" s="60">
        <f>SUMIF(Components!$B$3:$B$192,$B14,Components!P$3:P$192)</f>
        <v>190232</v>
      </c>
      <c r="H14" s="60">
        <f>SUMIF(Components!$B$3:$B$192,$B14,Components!Q$3:Q$192)</f>
        <v>0</v>
      </c>
      <c r="I14" s="60">
        <f>SUMIF(Components!$B$3:$B$192,$B14,Components!R$3:R$192)</f>
        <v>0</v>
      </c>
      <c r="J14" s="60">
        <f>SUMIF(Components!$B$3:$B$192,$B14,Components!S$3:S$192)</f>
        <v>21401</v>
      </c>
      <c r="K14" s="60">
        <f>SUMIF(Components!$B$3:$B$192,$B14,Components!T$3:T$192)</f>
        <v>7693</v>
      </c>
      <c r="L14" s="60">
        <f>SUMIF(Components!$B$3:$B$192,$B14,Components!U$3:U$192)</f>
        <v>0</v>
      </c>
      <c r="M14" s="60">
        <f>SUMIF(Components!$B$3:$B$192,$B14,Components!V$3:V$192)</f>
        <v>0</v>
      </c>
      <c r="N14" s="60">
        <f>SUMIF(Components!$B$3:$B$192,$B14,Components!W$3:W$192)</f>
        <v>14953</v>
      </c>
      <c r="O14" s="60">
        <f>SUMIF(Components!$B$3:$B$192,$B14,Components!X$3:X$192)</f>
        <v>153289</v>
      </c>
      <c r="P14" s="60">
        <f>SUMIF(Components!$B$3:$B$192,$B14,Components!Y$3:Y$192)</f>
        <v>0</v>
      </c>
      <c r="Q14" s="60">
        <f>SUMIF(Components!$B$3:$B$192,$B14,Components!Z$3:Z$192)</f>
        <v>14568</v>
      </c>
      <c r="R14" s="60">
        <f>SUMIF(Components!$B$3:$B$192,$B14,Components!AA$3:AA$192)</f>
        <v>0</v>
      </c>
      <c r="S14" s="60">
        <f>SUMIF(Components!$B$3:$B$192,$B14,Components!AB$3:AB$192)</f>
        <v>317320</v>
      </c>
      <c r="T14" s="60">
        <f>SUMIF(Components!$B$3:$B$192,$B14,Components!AC$3:AC$192)</f>
        <v>573855</v>
      </c>
      <c r="U14" s="60">
        <f>SUMIF(Components!$B$3:$B$192,$B14,Components!AD$3:AD$192)</f>
        <v>278329</v>
      </c>
      <c r="V14" s="60">
        <f>SUMIF(Components!$B$3:$B$192,$B14,Components!AE$3:AE$192)</f>
        <v>288070</v>
      </c>
      <c r="W14" s="60">
        <f>SUMIF(Components!$B$3:$B$192,$B14,Components!AF$3:AF$192)</f>
        <v>298152</v>
      </c>
      <c r="X14" s="60">
        <f>SUMIF(Components!$B$3:$B$192,$B14,Components!AG$3:AG$192)</f>
        <v>233785</v>
      </c>
      <c r="Y14" s="60">
        <f>SUMIF(Components!$B$3:$B$192,$B14,Components!AH$3:AH$192)</f>
        <v>192941</v>
      </c>
      <c r="Z14" s="60">
        <f>SUMIF(Components!$B$3:$B$192,$B14,Components!AI$3:AI$192)</f>
        <v>49704</v>
      </c>
      <c r="AA14" s="60">
        <f>SUMIF(Components!$B$3:$B$192,$B14,Components!AJ$3:AJ$192)</f>
        <v>57889</v>
      </c>
      <c r="AB14" s="60">
        <f>SUMIF(Components!$B$3:$B$192,$B14,Components!AK$3:AK$192)</f>
        <v>45975</v>
      </c>
      <c r="AC14" s="60">
        <f>SUMIF(Components!$B$3:$B$192,$B14,Components!AL$3:AL$192)</f>
        <v>24460</v>
      </c>
      <c r="AD14" s="60">
        <f>SUMIF(Components!$B$3:$B$192,$B14,Components!AM$3:AM$192)</f>
        <v>381219</v>
      </c>
      <c r="AE14" s="60">
        <f>SUMIF(Components!$B$3:$B$192,$B14,Components!AN$3:AN$192)</f>
        <v>131585</v>
      </c>
      <c r="AF14" s="60">
        <f>SUMIF(Components!$B$3:$B$192,$B14,Components!AO$3:AO$192)</f>
        <v>0</v>
      </c>
      <c r="AG14" s="60">
        <f>SUMIF(Components!$B$3:$B$192,$B14,Components!AP$3:AP$192)</f>
        <v>0</v>
      </c>
      <c r="AI14" s="62">
        <f t="shared" si="1"/>
        <v>3561561</v>
      </c>
    </row>
    <row r="15" spans="1:37">
      <c r="A15" s="55">
        <v>12</v>
      </c>
      <c r="B15" s="1" t="s">
        <v>235</v>
      </c>
      <c r="C15" s="64"/>
      <c r="D15" s="60">
        <f>SUMIF(Components!$B$3:$B$192,$B15,Components!M$3:M$192)</f>
        <v>148480</v>
      </c>
      <c r="E15" s="60">
        <f>SUMIF(Components!$B$3:$B$192,$B15,Components!N$3:N$192)</f>
        <v>0</v>
      </c>
      <c r="F15" s="60">
        <f>SUMIF(Components!$B$3:$B$192,$B15,Components!O$3:O$192)</f>
        <v>61477</v>
      </c>
      <c r="G15" s="60">
        <f>SUMIF(Components!$B$3:$B$192,$B15,Components!P$3:P$192)</f>
        <v>34640</v>
      </c>
      <c r="H15" s="60">
        <f>SUMIF(Components!$B$3:$B$192,$B15,Components!Q$3:Q$192)</f>
        <v>380152</v>
      </c>
      <c r="I15" s="60">
        <f>SUMIF(Components!$B$3:$B$192,$B15,Components!R$3:R$192)</f>
        <v>0</v>
      </c>
      <c r="J15" s="60">
        <f>SUMIF(Components!$B$3:$B$192,$B15,Components!S$3:S$192)</f>
        <v>45474</v>
      </c>
      <c r="K15" s="60">
        <f>SUMIF(Components!$B$3:$B$192,$B15,Components!T$3:T$192)</f>
        <v>45119</v>
      </c>
      <c r="L15" s="60">
        <f>SUMIF(Components!$B$3:$B$192,$B15,Components!U$3:U$192)</f>
        <v>172446</v>
      </c>
      <c r="M15" s="60">
        <f>SUMIF(Components!$B$3:$B$192,$B15,Components!V$3:V$192)</f>
        <v>13730</v>
      </c>
      <c r="N15" s="60">
        <f>SUMIF(Components!$B$3:$B$192,$B15,Components!W$3:W$192)</f>
        <v>154027</v>
      </c>
      <c r="O15" s="60">
        <f>SUMIF(Components!$B$3:$B$192,$B15,Components!X$3:X$192)</f>
        <v>93845</v>
      </c>
      <c r="P15" s="60">
        <f>SUMIF(Components!$B$3:$B$192,$B15,Components!Y$3:Y$192)</f>
        <v>83606</v>
      </c>
      <c r="Q15" s="60">
        <f>SUMIF(Components!$B$3:$B$192,$B15,Components!Z$3:Z$192)</f>
        <v>8417</v>
      </c>
      <c r="R15" s="60">
        <f>SUMIF(Components!$B$3:$B$192,$B15,Components!AA$3:AA$192)</f>
        <v>126636</v>
      </c>
      <c r="S15" s="60">
        <f>SUMIF(Components!$B$3:$B$192,$B15,Components!AB$3:AB$192)</f>
        <v>119663</v>
      </c>
      <c r="T15" s="60">
        <f>SUMIF(Components!$B$3:$B$192,$B15,Components!AC$3:AC$192)</f>
        <v>701230</v>
      </c>
      <c r="U15" s="60">
        <f>SUMIF(Components!$B$3:$B$192,$B15,Components!AD$3:AD$192)</f>
        <v>20432</v>
      </c>
      <c r="V15" s="60">
        <f>SUMIF(Components!$B$3:$B$192,$B15,Components!AE$3:AE$192)</f>
        <v>179493</v>
      </c>
      <c r="W15" s="60">
        <f>SUMIF(Components!$B$3:$B$192,$B15,Components!AF$3:AF$192)</f>
        <v>129890</v>
      </c>
      <c r="X15" s="60">
        <f>SUMIF(Components!$B$3:$B$192,$B15,Components!AG$3:AG$192)</f>
        <v>247702</v>
      </c>
      <c r="Y15" s="60">
        <f>SUMIF(Components!$B$3:$B$192,$B15,Components!AH$3:AH$192)</f>
        <v>0</v>
      </c>
      <c r="Z15" s="60">
        <f>SUMIF(Components!$B$3:$B$192,$B15,Components!AI$3:AI$192)</f>
        <v>47863</v>
      </c>
      <c r="AA15" s="60">
        <f>SUMIF(Components!$B$3:$B$192,$B15,Components!AJ$3:AJ$192)</f>
        <v>0</v>
      </c>
      <c r="AB15" s="60">
        <f>SUMIF(Components!$B$3:$B$192,$B15,Components!AK$3:AK$192)</f>
        <v>296833</v>
      </c>
      <c r="AC15" s="60">
        <f>SUMIF(Components!$B$3:$B$192,$B15,Components!AL$3:AL$192)</f>
        <v>171474</v>
      </c>
      <c r="AD15" s="60">
        <f>SUMIF(Components!$B$3:$B$192,$B15,Components!AM$3:AM$192)</f>
        <v>39242</v>
      </c>
      <c r="AE15" s="60">
        <f>SUMIF(Components!$B$3:$B$192,$B15,Components!AN$3:AN$192)</f>
        <v>89777</v>
      </c>
      <c r="AF15" s="60">
        <f>SUMIF(Components!$B$3:$B$192,$B15,Components!AO$3:AO$192)</f>
        <v>892016</v>
      </c>
      <c r="AG15" s="60">
        <f>SUMIF(Components!$B$3:$B$192,$B15,Components!AP$3:AP$192)</f>
        <v>27320</v>
      </c>
      <c r="AI15" s="62">
        <f t="shared" si="1"/>
        <v>4330984</v>
      </c>
    </row>
    <row r="16" spans="1:37">
      <c r="A16" s="55">
        <v>13</v>
      </c>
      <c r="B16" s="1" t="s">
        <v>290</v>
      </c>
      <c r="C16" s="63"/>
      <c r="D16" s="60">
        <f>SUMIF(Components!$B$3:$B$192,$B16,Components!M$3:M$192)</f>
        <v>9496</v>
      </c>
      <c r="E16" s="60">
        <f>SUMIF(Components!$B$3:$B$192,$B16,Components!N$3:N$192)</f>
        <v>32792</v>
      </c>
      <c r="F16" s="60">
        <f>SUMIF(Components!$B$3:$B$192,$B16,Components!O$3:O$192)</f>
        <v>0</v>
      </c>
      <c r="G16" s="60">
        <f>SUMIF(Components!$B$3:$B$192,$B16,Components!P$3:P$192)</f>
        <v>0</v>
      </c>
      <c r="H16" s="60">
        <f>SUMIF(Components!$B$3:$B$192,$B16,Components!Q$3:Q$192)</f>
        <v>19008</v>
      </c>
      <c r="I16" s="60">
        <f>SUMIF(Components!$B$3:$B$192,$B16,Components!R$3:R$192)</f>
        <v>0</v>
      </c>
      <c r="J16" s="60">
        <f>SUMIF(Components!$B$3:$B$192,$B16,Components!S$3:S$192)</f>
        <v>0</v>
      </c>
      <c r="K16" s="60">
        <f>SUMIF(Components!$B$3:$B$192,$B16,Components!T$3:T$192)</f>
        <v>0</v>
      </c>
      <c r="L16" s="60">
        <f>SUMIF(Components!$B$3:$B$192,$B16,Components!U$3:U$192)</f>
        <v>0</v>
      </c>
      <c r="M16" s="60">
        <f>SUMIF(Components!$B$3:$B$192,$B16,Components!V$3:V$192)</f>
        <v>0</v>
      </c>
      <c r="N16" s="60">
        <f>SUMIF(Components!$B$3:$B$192,$B16,Components!W$3:W$192)</f>
        <v>61316</v>
      </c>
      <c r="O16" s="60">
        <f>SUMIF(Components!$B$3:$B$192,$B16,Components!X$3:X$192)</f>
        <v>159158</v>
      </c>
      <c r="P16" s="60">
        <f>SUMIF(Components!$B$3:$B$192,$B16,Components!Y$3:Y$192)</f>
        <v>0</v>
      </c>
      <c r="Q16" s="60">
        <f>SUMIF(Components!$B$3:$B$192,$B16,Components!Z$3:Z$192)</f>
        <v>25899</v>
      </c>
      <c r="R16" s="60">
        <f>SUMIF(Components!$B$3:$B$192,$B16,Components!AA$3:AA$192)</f>
        <v>26812</v>
      </c>
      <c r="S16" s="60">
        <f>SUMIF(Components!$B$3:$B$192,$B16,Components!AB$3:AB$192)</f>
        <v>0</v>
      </c>
      <c r="T16" s="60">
        <f>SUMIF(Components!$B$3:$B$192,$B16,Components!AC$3:AC$192)</f>
        <v>19898</v>
      </c>
      <c r="U16" s="60">
        <f>SUMIF(Components!$B$3:$B$192,$B16,Components!AD$3:AD$192)</f>
        <v>0</v>
      </c>
      <c r="V16" s="60">
        <f>SUMIF(Components!$B$3:$B$192,$B16,Components!AE$3:AE$192)</f>
        <v>0</v>
      </c>
      <c r="W16" s="60">
        <f>SUMIF(Components!$B$3:$B$192,$B16,Components!AF$3:AF$192)</f>
        <v>119387</v>
      </c>
      <c r="X16" s="60">
        <f>SUMIF(Components!$B$3:$B$192,$B16,Components!AG$3:AG$192)</f>
        <v>0</v>
      </c>
      <c r="Y16" s="60">
        <f>SUMIF(Components!$B$3:$B$192,$B16,Components!AH$3:AH$192)</f>
        <v>0</v>
      </c>
      <c r="Z16" s="60">
        <f>SUMIF(Components!$B$3:$B$192,$B16,Components!AI$3:AI$192)</f>
        <v>0</v>
      </c>
      <c r="AA16" s="60">
        <f>SUMIF(Components!$B$3:$B$192,$B16,Components!AJ$3:AJ$192)</f>
        <v>0</v>
      </c>
      <c r="AB16" s="60">
        <f>SUMIF(Components!$B$3:$B$192,$B16,Components!AK$3:AK$192)</f>
        <v>37822</v>
      </c>
      <c r="AC16" s="60">
        <f>SUMIF(Components!$B$3:$B$192,$B16,Components!AL$3:AL$192)</f>
        <v>22441</v>
      </c>
      <c r="AD16" s="60">
        <f>SUMIF(Components!$B$3:$B$192,$B16,Components!AM$3:AM$192)</f>
        <v>0</v>
      </c>
      <c r="AE16" s="60">
        <f>SUMIF(Components!$B$3:$B$192,$B16,Components!AN$3:AN$192)</f>
        <v>0</v>
      </c>
      <c r="AF16" s="60">
        <f>SUMIF(Components!$B$3:$B$192,$B16,Components!AO$3:AO$192)</f>
        <v>43390</v>
      </c>
      <c r="AG16" s="60">
        <f>SUMIF(Components!$B$3:$B$192,$B16,Components!AP$3:AP$192)</f>
        <v>45336</v>
      </c>
      <c r="AH16" s="17"/>
      <c r="AI16" s="62">
        <f t="shared" si="1"/>
        <v>622755</v>
      </c>
    </row>
    <row r="17" spans="1:35" ht="3" customHeight="1">
      <c r="A17" s="65">
        <v>99</v>
      </c>
      <c r="B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I17" s="66"/>
    </row>
    <row r="18" spans="1:35">
      <c r="A18" s="67">
        <v>100</v>
      </c>
      <c r="B18" s="2" t="s">
        <v>149</v>
      </c>
      <c r="C18" s="2"/>
      <c r="D18" s="68">
        <f t="shared" ref="D18:AG18" si="2">SUM(D5:D17)</f>
        <v>304394</v>
      </c>
      <c r="E18" s="68">
        <f t="shared" si="2"/>
        <v>145845</v>
      </c>
      <c r="F18" s="68">
        <f t="shared" si="2"/>
        <v>631634</v>
      </c>
      <c r="G18" s="68">
        <f t="shared" si="2"/>
        <v>302593</v>
      </c>
      <c r="H18" s="68">
        <f t="shared" si="2"/>
        <v>475953</v>
      </c>
      <c r="I18" s="68">
        <f t="shared" si="2"/>
        <v>47427</v>
      </c>
      <c r="J18" s="68">
        <f t="shared" si="2"/>
        <v>124936</v>
      </c>
      <c r="K18" s="68">
        <f t="shared" si="2"/>
        <v>1623354</v>
      </c>
      <c r="L18" s="68">
        <f t="shared" si="2"/>
        <v>350396</v>
      </c>
      <c r="M18" s="68">
        <f t="shared" si="2"/>
        <v>147977</v>
      </c>
      <c r="N18" s="68">
        <f t="shared" si="2"/>
        <v>344573</v>
      </c>
      <c r="O18" s="68">
        <f t="shared" si="2"/>
        <v>443060</v>
      </c>
      <c r="P18" s="68">
        <f t="shared" si="2"/>
        <v>1143854</v>
      </c>
      <c r="Q18" s="68">
        <f t="shared" si="2"/>
        <v>279251</v>
      </c>
      <c r="R18" s="68">
        <f t="shared" si="2"/>
        <v>232216</v>
      </c>
      <c r="S18" s="68">
        <f t="shared" si="2"/>
        <v>516411</v>
      </c>
      <c r="T18" s="68">
        <f t="shared" si="2"/>
        <v>1400280</v>
      </c>
      <c r="U18" s="68">
        <f t="shared" si="2"/>
        <v>1136434</v>
      </c>
      <c r="V18" s="68">
        <f t="shared" si="2"/>
        <v>636714</v>
      </c>
      <c r="W18" s="68">
        <f t="shared" si="2"/>
        <v>827311</v>
      </c>
      <c r="X18" s="68">
        <f t="shared" si="2"/>
        <v>544151</v>
      </c>
      <c r="Y18" s="68">
        <f t="shared" si="2"/>
        <v>244477</v>
      </c>
      <c r="Z18" s="68">
        <f t="shared" si="2"/>
        <v>3484671</v>
      </c>
      <c r="AA18" s="68">
        <f t="shared" si="2"/>
        <v>650782</v>
      </c>
      <c r="AB18" s="68">
        <f t="shared" si="2"/>
        <v>963308</v>
      </c>
      <c r="AC18" s="68">
        <f t="shared" si="2"/>
        <v>371409</v>
      </c>
      <c r="AD18" s="68">
        <f t="shared" si="2"/>
        <v>446228</v>
      </c>
      <c r="AE18" s="68">
        <f t="shared" si="2"/>
        <v>308540</v>
      </c>
      <c r="AF18" s="68">
        <f t="shared" si="2"/>
        <v>1136901</v>
      </c>
      <c r="AG18" s="68">
        <f t="shared" si="2"/>
        <v>336129</v>
      </c>
      <c r="AH18" s="2"/>
      <c r="AI18" s="68">
        <f>SUM(AI5:AI17)</f>
        <v>19601209</v>
      </c>
    </row>
    <row r="19" spans="1:35">
      <c r="B19" s="1" t="str">
        <f>Components!B194</f>
        <v xml:space="preserve">   Insurance Covered Costs</v>
      </c>
      <c r="D19" s="60">
        <f>Components!M194</f>
        <v>0</v>
      </c>
      <c r="E19" s="60">
        <f>Components!N194</f>
        <v>0</v>
      </c>
      <c r="F19" s="60">
        <f>Components!O194</f>
        <v>0</v>
      </c>
      <c r="G19" s="60">
        <f>Components!P194</f>
        <v>0</v>
      </c>
      <c r="H19" s="60">
        <f>Components!Q194</f>
        <v>0</v>
      </c>
      <c r="I19" s="60">
        <f>Components!R194</f>
        <v>0</v>
      </c>
      <c r="J19" s="60">
        <f>Components!S194</f>
        <v>0</v>
      </c>
      <c r="K19" s="60">
        <f>Components!T194</f>
        <v>0</v>
      </c>
      <c r="L19" s="60">
        <f>Components!U194</f>
        <v>0</v>
      </c>
      <c r="M19" s="60">
        <f>Components!V194</f>
        <v>0</v>
      </c>
      <c r="N19" s="60">
        <f>Components!W194</f>
        <v>0</v>
      </c>
      <c r="O19" s="60">
        <f>Components!X194</f>
        <v>0</v>
      </c>
      <c r="P19" s="60">
        <f>Components!Y194</f>
        <v>0</v>
      </c>
      <c r="Q19" s="60">
        <f>Components!Z194</f>
        <v>0</v>
      </c>
      <c r="R19" s="60">
        <f>Components!AA194</f>
        <v>0</v>
      </c>
      <c r="S19" s="60">
        <f>Components!AB194</f>
        <v>0</v>
      </c>
      <c r="T19" s="60">
        <f>Components!AC194</f>
        <v>0</v>
      </c>
      <c r="U19" s="60">
        <f>Components!AD194</f>
        <v>0</v>
      </c>
      <c r="V19" s="60">
        <f>Components!AE194</f>
        <v>0</v>
      </c>
      <c r="W19" s="60">
        <f>Components!AF194</f>
        <v>0</v>
      </c>
      <c r="X19" s="60">
        <f>Components!AG194</f>
        <v>0</v>
      </c>
      <c r="Y19" s="60">
        <f>Components!AH194</f>
        <v>0</v>
      </c>
      <c r="Z19" s="60">
        <f>Components!AI194</f>
        <v>0</v>
      </c>
      <c r="AA19" s="60">
        <f>Components!AJ194</f>
        <v>0</v>
      </c>
      <c r="AB19" s="60">
        <f>Components!AK194</f>
        <v>0</v>
      </c>
      <c r="AC19" s="60">
        <f>Components!AL194</f>
        <v>0</v>
      </c>
      <c r="AD19" s="60">
        <f>Components!AM194</f>
        <v>0</v>
      </c>
      <c r="AE19" s="60">
        <f>Components!AN194</f>
        <v>0</v>
      </c>
      <c r="AF19" s="60">
        <f>Components!AO194</f>
        <v>0</v>
      </c>
      <c r="AG19" s="60">
        <f>Components!AP194</f>
        <v>0</v>
      </c>
      <c r="AI19" s="62">
        <f t="shared" ref="AI19:AI23" si="3">SUM(C19:AH19)</f>
        <v>0</v>
      </c>
    </row>
    <row r="20" spans="1:35">
      <c r="B20" s="1" t="str">
        <f>Components!B195</f>
        <v xml:space="preserve">   Property Tax Covering Costs</v>
      </c>
      <c r="D20" s="60">
        <f>Components!M195</f>
        <v>0</v>
      </c>
      <c r="E20" s="60">
        <f>Components!N195</f>
        <v>0</v>
      </c>
      <c r="F20" s="60">
        <f>Components!O195</f>
        <v>0</v>
      </c>
      <c r="G20" s="60">
        <f>Components!P195</f>
        <v>0</v>
      </c>
      <c r="H20" s="60">
        <f>Components!Q195</f>
        <v>0</v>
      </c>
      <c r="I20" s="60">
        <f>Components!R195</f>
        <v>0</v>
      </c>
      <c r="J20" s="60">
        <f>Components!S195</f>
        <v>0</v>
      </c>
      <c r="K20" s="60">
        <f>Components!T195</f>
        <v>0</v>
      </c>
      <c r="L20" s="60">
        <f>Components!U195</f>
        <v>0</v>
      </c>
      <c r="M20" s="60">
        <f>Components!V195</f>
        <v>0</v>
      </c>
      <c r="N20" s="60">
        <f>Components!W195</f>
        <v>0</v>
      </c>
      <c r="O20" s="60">
        <f>Components!X195</f>
        <v>0</v>
      </c>
      <c r="P20" s="60">
        <f>Components!Y195</f>
        <v>0</v>
      </c>
      <c r="Q20" s="60">
        <f>Components!Z195</f>
        <v>0</v>
      </c>
      <c r="R20" s="60">
        <f>Components!AA195</f>
        <v>0</v>
      </c>
      <c r="S20" s="60">
        <f>Components!AB195</f>
        <v>0</v>
      </c>
      <c r="T20" s="60">
        <f>Components!AC195</f>
        <v>0</v>
      </c>
      <c r="U20" s="60">
        <f>Components!AD195</f>
        <v>0</v>
      </c>
      <c r="V20" s="60">
        <f>Components!AE195</f>
        <v>0</v>
      </c>
      <c r="W20" s="60">
        <f>Components!AF195</f>
        <v>0</v>
      </c>
      <c r="X20" s="60">
        <f>Components!AG195</f>
        <v>0</v>
      </c>
      <c r="Y20" s="60">
        <f>Components!AH195</f>
        <v>0</v>
      </c>
      <c r="Z20" s="60">
        <f>Components!AI195</f>
        <v>-3416417</v>
      </c>
      <c r="AA20" s="60">
        <f>Components!AJ195</f>
        <v>0</v>
      </c>
      <c r="AB20" s="60">
        <f>Components!AK195</f>
        <v>0</v>
      </c>
      <c r="AC20" s="60">
        <f>Components!AL195</f>
        <v>0</v>
      </c>
      <c r="AD20" s="60">
        <f>Components!AM195</f>
        <v>0</v>
      </c>
      <c r="AE20" s="60">
        <f>Components!AN195</f>
        <v>0</v>
      </c>
      <c r="AF20" s="60">
        <f>Components!AO195</f>
        <v>0</v>
      </c>
      <c r="AG20" s="60">
        <f>Components!AP195</f>
        <v>0</v>
      </c>
      <c r="AI20" s="62">
        <f t="shared" si="3"/>
        <v>-3416417</v>
      </c>
    </row>
    <row r="21" spans="1:35">
      <c r="B21" s="1" t="str">
        <f>Components!B196</f>
        <v xml:space="preserve">   Lottery Fund Revenues Covering Costs</v>
      </c>
      <c r="D21" s="60">
        <f>Components!M196</f>
        <v>0</v>
      </c>
      <c r="E21" s="60">
        <f>Components!N196</f>
        <v>0</v>
      </c>
      <c r="F21" s="60">
        <f>Components!O196</f>
        <v>0</v>
      </c>
      <c r="G21" s="60">
        <f>Components!P196</f>
        <v>0</v>
      </c>
      <c r="H21" s="60">
        <f>Components!Q196</f>
        <v>0</v>
      </c>
      <c r="I21" s="60">
        <f>Components!R196</f>
        <v>-17210</v>
      </c>
      <c r="J21" s="60">
        <f>Components!S196</f>
        <v>0</v>
      </c>
      <c r="K21" s="60">
        <f>Components!T196</f>
        <v>0</v>
      </c>
      <c r="L21" s="60">
        <f>Components!U196</f>
        <v>0</v>
      </c>
      <c r="M21" s="60">
        <f>Components!V196</f>
        <v>0</v>
      </c>
      <c r="N21" s="60">
        <f>Components!W196</f>
        <v>0</v>
      </c>
      <c r="O21" s="60">
        <f>Components!X196</f>
        <v>0</v>
      </c>
      <c r="P21" s="60">
        <f>Components!Y196</f>
        <v>0</v>
      </c>
      <c r="Q21" s="60">
        <f>Components!Z196</f>
        <v>-37230</v>
      </c>
      <c r="R21" s="60">
        <f>Components!AA196</f>
        <v>0</v>
      </c>
      <c r="S21" s="60">
        <f>Components!AB196</f>
        <v>-52022</v>
      </c>
      <c r="T21" s="60">
        <f>Components!AC196</f>
        <v>-17947</v>
      </c>
      <c r="U21" s="60">
        <f>Components!AD196</f>
        <v>0</v>
      </c>
      <c r="V21" s="60">
        <f>Components!AE196</f>
        <v>0</v>
      </c>
      <c r="W21" s="60">
        <f>Components!AF196</f>
        <v>0</v>
      </c>
      <c r="X21" s="60">
        <f>Components!AG196</f>
        <v>0</v>
      </c>
      <c r="Y21" s="60">
        <f>Components!AH196</f>
        <v>-29841</v>
      </c>
      <c r="Z21" s="60">
        <f>Components!AI196</f>
        <v>0</v>
      </c>
      <c r="AA21" s="60">
        <f>Components!AJ196</f>
        <v>0</v>
      </c>
      <c r="AB21" s="60">
        <f>Components!AK196</f>
        <v>-18733</v>
      </c>
      <c r="AC21" s="60">
        <f>Components!AL196</f>
        <v>0</v>
      </c>
      <c r="AD21" s="60">
        <f>Components!AM196</f>
        <v>0</v>
      </c>
      <c r="AE21" s="60">
        <f>Components!AN196</f>
        <v>0</v>
      </c>
      <c r="AF21" s="60">
        <f>Components!AO196</f>
        <v>0</v>
      </c>
      <c r="AG21" s="60">
        <f>Components!AP196</f>
        <v>-39295</v>
      </c>
      <c r="AI21" s="62">
        <f t="shared" si="3"/>
        <v>-212278</v>
      </c>
    </row>
    <row r="22" spans="1:35" ht="16" thickBot="1">
      <c r="B22" s="1" t="str">
        <f>Components!B197</f>
        <v xml:space="preserve">   Foundation Revenues Covering Cost</v>
      </c>
      <c r="D22" s="60">
        <f>Components!M197</f>
        <v>0</v>
      </c>
      <c r="E22" s="60">
        <f>Components!N197</f>
        <v>0</v>
      </c>
      <c r="F22" s="60">
        <f>Components!O197</f>
        <v>0</v>
      </c>
      <c r="G22" s="60">
        <f>Components!P197</f>
        <v>0</v>
      </c>
      <c r="H22" s="60">
        <f>Components!Q197</f>
        <v>0</v>
      </c>
      <c r="I22" s="60">
        <f>Components!R197</f>
        <v>0</v>
      </c>
      <c r="J22" s="60">
        <f>Components!S197</f>
        <v>0</v>
      </c>
      <c r="K22" s="60">
        <f>Components!T197</f>
        <v>0</v>
      </c>
      <c r="L22" s="60">
        <f>Components!U197</f>
        <v>0</v>
      </c>
      <c r="M22" s="60">
        <f>Components!V197</f>
        <v>0</v>
      </c>
      <c r="N22" s="60">
        <f>Components!W197</f>
        <v>0</v>
      </c>
      <c r="O22" s="60">
        <f>Components!X197</f>
        <v>0</v>
      </c>
      <c r="P22" s="60">
        <f>Components!Y197</f>
        <v>0</v>
      </c>
      <c r="Q22" s="60">
        <f>Components!Z197</f>
        <v>0</v>
      </c>
      <c r="R22" s="60">
        <f>Components!AA197</f>
        <v>0</v>
      </c>
      <c r="S22" s="60">
        <f>Components!AB197</f>
        <v>0</v>
      </c>
      <c r="T22" s="60">
        <f>Components!AC197</f>
        <v>0</v>
      </c>
      <c r="U22" s="60">
        <f>Components!AD197</f>
        <v>0</v>
      </c>
      <c r="V22" s="60">
        <f>Components!AE197</f>
        <v>0</v>
      </c>
      <c r="W22" s="60">
        <f>Components!AF197</f>
        <v>0</v>
      </c>
      <c r="X22" s="60">
        <f>Components!AG197</f>
        <v>0</v>
      </c>
      <c r="Y22" s="60">
        <f>Components!AH197</f>
        <v>0</v>
      </c>
      <c r="Z22" s="60">
        <f>Components!AI197</f>
        <v>0</v>
      </c>
      <c r="AA22" s="60">
        <f>Components!AJ197</f>
        <v>0</v>
      </c>
      <c r="AB22" s="60">
        <f>Components!AK197</f>
        <v>0</v>
      </c>
      <c r="AC22" s="60">
        <f>Components!AL197</f>
        <v>0</v>
      </c>
      <c r="AD22" s="60">
        <f>Components!AM197</f>
        <v>0</v>
      </c>
      <c r="AE22" s="60">
        <f>Components!AN197</f>
        <v>0</v>
      </c>
      <c r="AF22" s="60">
        <f>Components!AO197</f>
        <v>0</v>
      </c>
      <c r="AG22" s="60">
        <f>Components!AP197</f>
        <v>0</v>
      </c>
      <c r="AI22" s="62">
        <f t="shared" si="3"/>
        <v>0</v>
      </c>
    </row>
    <row r="23" spans="1:35" ht="17" customHeight="1" thickBot="1">
      <c r="B23" s="69" t="s">
        <v>151</v>
      </c>
      <c r="C23" s="15"/>
      <c r="D23" s="70">
        <f>SUM(D18:D22)</f>
        <v>304394</v>
      </c>
      <c r="E23" s="70">
        <f t="shared" ref="E23:AG23" si="4">SUM(E18:E22)</f>
        <v>145845</v>
      </c>
      <c r="F23" s="70">
        <f t="shared" si="4"/>
        <v>631634</v>
      </c>
      <c r="G23" s="70">
        <f t="shared" si="4"/>
        <v>302593</v>
      </c>
      <c r="H23" s="70">
        <f t="shared" si="4"/>
        <v>475953</v>
      </c>
      <c r="I23" s="70">
        <f t="shared" si="4"/>
        <v>30217</v>
      </c>
      <c r="J23" s="70">
        <f t="shared" si="4"/>
        <v>124936</v>
      </c>
      <c r="K23" s="70">
        <f t="shared" si="4"/>
        <v>1623354</v>
      </c>
      <c r="L23" s="70">
        <f t="shared" si="4"/>
        <v>350396</v>
      </c>
      <c r="M23" s="70">
        <f t="shared" si="4"/>
        <v>147977</v>
      </c>
      <c r="N23" s="70">
        <f t="shared" si="4"/>
        <v>344573</v>
      </c>
      <c r="O23" s="70">
        <f t="shared" si="4"/>
        <v>443060</v>
      </c>
      <c r="P23" s="70">
        <f t="shared" si="4"/>
        <v>1143854</v>
      </c>
      <c r="Q23" s="70">
        <f t="shared" si="4"/>
        <v>242021</v>
      </c>
      <c r="R23" s="70">
        <f t="shared" si="4"/>
        <v>232216</v>
      </c>
      <c r="S23" s="70">
        <f t="shared" si="4"/>
        <v>464389</v>
      </c>
      <c r="T23" s="70">
        <f t="shared" si="4"/>
        <v>1382333</v>
      </c>
      <c r="U23" s="70">
        <f t="shared" si="4"/>
        <v>1136434</v>
      </c>
      <c r="V23" s="70">
        <f t="shared" si="4"/>
        <v>636714</v>
      </c>
      <c r="W23" s="70">
        <f t="shared" si="4"/>
        <v>827311</v>
      </c>
      <c r="X23" s="70">
        <f t="shared" si="4"/>
        <v>544151</v>
      </c>
      <c r="Y23" s="70">
        <f t="shared" si="4"/>
        <v>214636</v>
      </c>
      <c r="Z23" s="70">
        <f t="shared" si="4"/>
        <v>68254</v>
      </c>
      <c r="AA23" s="70">
        <f t="shared" si="4"/>
        <v>650782</v>
      </c>
      <c r="AB23" s="70">
        <f t="shared" si="4"/>
        <v>944575</v>
      </c>
      <c r="AC23" s="70">
        <f t="shared" si="4"/>
        <v>371409</v>
      </c>
      <c r="AD23" s="70">
        <f t="shared" si="4"/>
        <v>446228</v>
      </c>
      <c r="AE23" s="70">
        <f t="shared" si="4"/>
        <v>308540</v>
      </c>
      <c r="AF23" s="70">
        <f t="shared" si="4"/>
        <v>1136901</v>
      </c>
      <c r="AG23" s="70">
        <f t="shared" si="4"/>
        <v>296834</v>
      </c>
      <c r="AH23" s="15"/>
      <c r="AI23" s="70">
        <f t="shared" si="3"/>
        <v>15972514</v>
      </c>
    </row>
    <row r="24" spans="1:35">
      <c r="B24" s="2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I24" s="68"/>
    </row>
    <row r="25" spans="1:35">
      <c r="D25" s="11">
        <f t="shared" ref="D25:AG25" si="5">D4-D18</f>
        <v>0</v>
      </c>
      <c r="E25" s="11">
        <f t="shared" si="5"/>
        <v>0</v>
      </c>
      <c r="F25" s="11">
        <f t="shared" si="5"/>
        <v>0</v>
      </c>
      <c r="G25" s="11">
        <f t="shared" si="5"/>
        <v>0</v>
      </c>
      <c r="H25" s="11">
        <f t="shared" si="5"/>
        <v>0</v>
      </c>
      <c r="I25" s="11">
        <f t="shared" si="5"/>
        <v>0</v>
      </c>
      <c r="J25" s="11">
        <f t="shared" si="5"/>
        <v>0</v>
      </c>
      <c r="K25" s="11">
        <f t="shared" si="5"/>
        <v>0</v>
      </c>
      <c r="L25" s="11">
        <f t="shared" si="5"/>
        <v>0</v>
      </c>
      <c r="M25" s="11">
        <f t="shared" si="5"/>
        <v>0</v>
      </c>
      <c r="N25" s="11">
        <f t="shared" si="5"/>
        <v>0</v>
      </c>
      <c r="O25" s="11">
        <f t="shared" si="5"/>
        <v>0</v>
      </c>
      <c r="P25" s="11">
        <f t="shared" si="5"/>
        <v>0</v>
      </c>
      <c r="Q25" s="11">
        <f t="shared" si="5"/>
        <v>0</v>
      </c>
      <c r="R25" s="11">
        <f t="shared" si="5"/>
        <v>0</v>
      </c>
      <c r="S25" s="11">
        <f t="shared" si="5"/>
        <v>0</v>
      </c>
      <c r="T25" s="11">
        <f t="shared" si="5"/>
        <v>0</v>
      </c>
      <c r="U25" s="11">
        <f t="shared" si="5"/>
        <v>0</v>
      </c>
      <c r="V25" s="11">
        <f t="shared" si="5"/>
        <v>0</v>
      </c>
      <c r="W25" s="11">
        <f t="shared" si="5"/>
        <v>0</v>
      </c>
      <c r="X25" s="11">
        <f t="shared" si="5"/>
        <v>0</v>
      </c>
      <c r="Y25" s="11">
        <f t="shared" si="5"/>
        <v>0</v>
      </c>
      <c r="Z25" s="11">
        <f t="shared" si="5"/>
        <v>0</v>
      </c>
      <c r="AA25" s="11">
        <f t="shared" si="5"/>
        <v>0</v>
      </c>
      <c r="AB25" s="11">
        <f t="shared" si="5"/>
        <v>0</v>
      </c>
      <c r="AC25" s="11">
        <f t="shared" si="5"/>
        <v>0</v>
      </c>
      <c r="AD25" s="11">
        <f t="shared" si="5"/>
        <v>0</v>
      </c>
      <c r="AE25" s="11">
        <f t="shared" si="5"/>
        <v>0</v>
      </c>
      <c r="AF25" s="11">
        <f t="shared" si="5"/>
        <v>0</v>
      </c>
      <c r="AG25" s="11">
        <f t="shared" si="5"/>
        <v>0</v>
      </c>
      <c r="AI25" s="11">
        <f>AI4-AI18</f>
        <v>0</v>
      </c>
    </row>
    <row r="27" spans="1:35" ht="18">
      <c r="B27" s="281" t="s">
        <v>152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</row>
    <row r="29" spans="1:35" ht="31" thickBot="1">
      <c r="A29" s="54" t="s">
        <v>153</v>
      </c>
      <c r="B29" s="12" t="s">
        <v>145</v>
      </c>
      <c r="C29" s="3"/>
      <c r="D29" s="10">
        <f>AnalysisYear</f>
        <v>2020</v>
      </c>
      <c r="E29" s="10">
        <f t="shared" ref="E29:AG29" si="6">D29+1</f>
        <v>2021</v>
      </c>
      <c r="F29" s="10">
        <f t="shared" si="6"/>
        <v>2022</v>
      </c>
      <c r="G29" s="10">
        <f t="shared" si="6"/>
        <v>2023</v>
      </c>
      <c r="H29" s="10">
        <f t="shared" si="6"/>
        <v>2024</v>
      </c>
      <c r="I29" s="10">
        <f t="shared" si="6"/>
        <v>2025</v>
      </c>
      <c r="J29" s="10">
        <f t="shared" si="6"/>
        <v>2026</v>
      </c>
      <c r="K29" s="10">
        <f t="shared" si="6"/>
        <v>2027</v>
      </c>
      <c r="L29" s="10">
        <f t="shared" si="6"/>
        <v>2028</v>
      </c>
      <c r="M29" s="10">
        <f t="shared" si="6"/>
        <v>2029</v>
      </c>
      <c r="N29" s="10">
        <f t="shared" si="6"/>
        <v>2030</v>
      </c>
      <c r="O29" s="10">
        <f t="shared" si="6"/>
        <v>2031</v>
      </c>
      <c r="P29" s="10">
        <f t="shared" si="6"/>
        <v>2032</v>
      </c>
      <c r="Q29" s="10">
        <f t="shared" si="6"/>
        <v>2033</v>
      </c>
      <c r="R29" s="10">
        <f t="shared" si="6"/>
        <v>2034</v>
      </c>
      <c r="S29" s="10">
        <f t="shared" si="6"/>
        <v>2035</v>
      </c>
      <c r="T29" s="10">
        <f t="shared" si="6"/>
        <v>2036</v>
      </c>
      <c r="U29" s="10">
        <f t="shared" si="6"/>
        <v>2037</v>
      </c>
      <c r="V29" s="10">
        <f t="shared" si="6"/>
        <v>2038</v>
      </c>
      <c r="W29" s="10">
        <f t="shared" si="6"/>
        <v>2039</v>
      </c>
      <c r="X29" s="10">
        <f t="shared" si="6"/>
        <v>2040</v>
      </c>
      <c r="Y29" s="10">
        <f t="shared" si="6"/>
        <v>2041</v>
      </c>
      <c r="Z29" s="10">
        <f t="shared" si="6"/>
        <v>2042</v>
      </c>
      <c r="AA29" s="10">
        <f t="shared" si="6"/>
        <v>2043</v>
      </c>
      <c r="AB29" s="10">
        <f t="shared" si="6"/>
        <v>2044</v>
      </c>
      <c r="AC29" s="10">
        <f t="shared" si="6"/>
        <v>2045</v>
      </c>
      <c r="AD29" s="10">
        <f t="shared" si="6"/>
        <v>2046</v>
      </c>
      <c r="AE29" s="10">
        <f t="shared" si="6"/>
        <v>2047</v>
      </c>
      <c r="AF29" s="10">
        <f t="shared" si="6"/>
        <v>2048</v>
      </c>
      <c r="AG29" s="10">
        <f t="shared" si="6"/>
        <v>2049</v>
      </c>
      <c r="AH29" s="53"/>
      <c r="AI29" s="13" t="s">
        <v>100</v>
      </c>
    </row>
    <row r="30" spans="1:35" ht="6" customHeight="1" thickBot="1">
      <c r="A30" s="55"/>
      <c r="B30" s="12"/>
      <c r="C30" s="3"/>
      <c r="D30" s="56">
        <f>SUM('FF Deposit'!L2:L192)</f>
        <v>465129.08556201652</v>
      </c>
      <c r="E30" s="56">
        <f>SUM('FF Deposit'!M2:M192)</f>
        <v>470712.86607160437</v>
      </c>
      <c r="F30" s="56">
        <f>SUM('FF Deposit'!N2:N192)</f>
        <v>496463.96334778221</v>
      </c>
      <c r="G30" s="56">
        <f>SUM('FF Deposit'!O2:O192)</f>
        <v>509025.49878634972</v>
      </c>
      <c r="H30" s="56">
        <f>SUM('FF Deposit'!P2:P192)</f>
        <v>529140.42234167061</v>
      </c>
      <c r="I30" s="56">
        <f>SUM('FF Deposit'!Q2:Q192)</f>
        <v>530865.40211523033</v>
      </c>
      <c r="J30" s="56">
        <f>SUM('FF Deposit'!R2:R192)</f>
        <v>535490.83395775442</v>
      </c>
      <c r="K30" s="56">
        <f>SUM('FF Deposit'!S2:S192)</f>
        <v>600358.21870706591</v>
      </c>
      <c r="L30" s="56">
        <f>SUM('FF Deposit'!T2:T192)</f>
        <v>613447.19531133224</v>
      </c>
      <c r="M30" s="56">
        <f>SUM('FF Deposit'!U2:U192)</f>
        <v>618911.23957612831</v>
      </c>
      <c r="N30" s="56">
        <f>SUM('FF Deposit'!V2:V192)</f>
        <v>632077.54887736856</v>
      </c>
      <c r="O30" s="56">
        <f>SUM('FF Deposit'!W2:W192)</f>
        <v>649364.92659885297</v>
      </c>
      <c r="P30" s="56">
        <f>SUM('FF Deposit'!X2:X192)</f>
        <v>693751.02022010472</v>
      </c>
      <c r="Q30" s="56">
        <f>SUM('FF Deposit'!Y2:Y192)</f>
        <v>704343.69928131998</v>
      </c>
      <c r="R30" s="56">
        <f>SUM('FF Deposit'!Z2:Z192)</f>
        <v>713078.17203119094</v>
      </c>
      <c r="S30" s="56">
        <f>SUM('FF Deposit'!AA2:AA192)</f>
        <v>735771.1013122804</v>
      </c>
      <c r="T30" s="56">
        <f>SUM('FF Deposit'!AB2:AB192)</f>
        <v>792533.78708691313</v>
      </c>
      <c r="U30" s="56">
        <f>SUM('FF Deposit'!AC2:AC192)</f>
        <v>841240.60280724568</v>
      </c>
      <c r="V30" s="56">
        <f>SUM('FF Deposit'!AD2:AD192)</f>
        <v>868003.86988066137</v>
      </c>
      <c r="W30" s="56">
        <f>SUM('FF Deposit'!AE2:AE192)</f>
        <v>903067.07811459445</v>
      </c>
      <c r="X30" s="56">
        <f>SUM('FF Deposit'!AF2:AF192)</f>
        <v>924726.25168554077</v>
      </c>
      <c r="Y30" s="56">
        <f>SUM('FF Deposit'!AG2:AG192)</f>
        <v>934972.55758429726</v>
      </c>
      <c r="Z30" s="56">
        <f>SUM('FF Deposit'!AH2:AH192)</f>
        <v>1072215.2681850872</v>
      </c>
      <c r="AA30" s="56">
        <f>SUM('FF Deposit'!AI2:AI192)</f>
        <v>1098416.1851136654</v>
      </c>
      <c r="AB30" s="56">
        <f>SUM('FF Deposit'!AJ2:AJ192)</f>
        <v>1138211.80449532</v>
      </c>
      <c r="AC30" s="56">
        <f>SUM('FF Deposit'!AK2:AK192)</f>
        <v>1152394.341077015</v>
      </c>
      <c r="AD30" s="56">
        <f>SUM('FF Deposit'!AL2:AL192)</f>
        <v>1170016.2258725511</v>
      </c>
      <c r="AE30" s="56">
        <f>SUM('FF Deposit'!AM2:AM192)</f>
        <v>1183069.6025558203</v>
      </c>
      <c r="AF30" s="56">
        <f>SUM('FF Deposit'!AN2:AN192)</f>
        <v>1225591.1231881198</v>
      </c>
      <c r="AG30" s="56">
        <f>SUM('FF Deposit'!AO2:AO192)</f>
        <v>1238523.1017879788</v>
      </c>
      <c r="AH30" s="57"/>
      <c r="AI30" s="58">
        <f>SUM(C30:AH30)</f>
        <v>24040912.993532859</v>
      </c>
    </row>
    <row r="31" spans="1:35">
      <c r="A31" s="55">
        <f t="shared" ref="A31:B42" si="7">A5</f>
        <v>1</v>
      </c>
      <c r="B31" s="1" t="str">
        <f t="shared" si="7"/>
        <v>Asphalt R&amp;R</v>
      </c>
      <c r="C31" s="59"/>
      <c r="D31" s="60">
        <f>SUMIF('FF Deposit'!$A$2:$A$192,$B31,'FF Deposit'!L$2:L$192)</f>
        <v>35734.302801505808</v>
      </c>
      <c r="E31" s="215">
        <f>SUMIF('FF Deposit'!$A$2:$A$192,$B31,'FF Deposit'!M$2:M$192)</f>
        <v>35734.302801505808</v>
      </c>
      <c r="F31" s="215">
        <f>SUMIF('FF Deposit'!$A$2:$A$192,$B31,'FF Deposit'!N$2:N$192)</f>
        <v>35734.302801505808</v>
      </c>
      <c r="G31" s="215">
        <f>SUMIF('FF Deposit'!$A$2:$A$192,$B31,'FF Deposit'!O$2:O$192)</f>
        <v>35734.302801505808</v>
      </c>
      <c r="H31" s="215">
        <f>SUMIF('FF Deposit'!$A$2:$A$192,$B31,'FF Deposit'!P$2:P$192)</f>
        <v>35734.302801505808</v>
      </c>
      <c r="I31" s="215">
        <f>SUMIF('FF Deposit'!$A$2:$A$192,$B31,'FF Deposit'!Q$2:Q$192)</f>
        <v>35734.302801505808</v>
      </c>
      <c r="J31" s="215">
        <f>SUMIF('FF Deposit'!$A$2:$A$192,$B31,'FF Deposit'!R$2:R$192)</f>
        <v>35734.302801505808</v>
      </c>
      <c r="K31" s="215">
        <f>SUMIF('FF Deposit'!$A$2:$A$192,$B31,'FF Deposit'!S$2:S$192)</f>
        <v>43847.112198748953</v>
      </c>
      <c r="L31" s="215">
        <f>SUMIF('FF Deposit'!$A$2:$A$192,$B31,'FF Deposit'!T$2:T$192)</f>
        <v>43847.112198748953</v>
      </c>
      <c r="M31" s="215">
        <f>SUMIF('FF Deposit'!$A$2:$A$192,$B31,'FF Deposit'!U$2:U$192)</f>
        <v>43847.112198748953</v>
      </c>
      <c r="N31" s="215">
        <f>SUMIF('FF Deposit'!$A$2:$A$192,$B31,'FF Deposit'!V$2:V$192)</f>
        <v>43847.112198748953</v>
      </c>
      <c r="O31" s="215">
        <f>SUMIF('FF Deposit'!$A$2:$A$192,$B31,'FF Deposit'!W$2:W$192)</f>
        <v>43847.112198748953</v>
      </c>
      <c r="P31" s="215">
        <f>SUMIF('FF Deposit'!$A$2:$A$192,$B31,'FF Deposit'!X$2:X$192)</f>
        <v>43847.112198748953</v>
      </c>
      <c r="Q31" s="215">
        <f>SUMIF('FF Deposit'!$A$2:$A$192,$B31,'FF Deposit'!Y$2:Y$192)</f>
        <v>43847.112198748953</v>
      </c>
      <c r="R31" s="215">
        <f>SUMIF('FF Deposit'!$A$2:$A$192,$B31,'FF Deposit'!Z$2:Z$192)</f>
        <v>43847.112198748953</v>
      </c>
      <c r="S31" s="215">
        <f>SUMIF('FF Deposit'!$A$2:$A$192,$B31,'FF Deposit'!AA$2:AA$192)</f>
        <v>43847.112198748953</v>
      </c>
      <c r="T31" s="215">
        <f>SUMIF('FF Deposit'!$A$2:$A$192,$B31,'FF Deposit'!AB$2:AB$192)</f>
        <v>43847.112198748953</v>
      </c>
      <c r="U31" s="215">
        <f>SUMIF('FF Deposit'!$A$2:$A$192,$B31,'FF Deposit'!AC$2:AC$192)</f>
        <v>43847.112198748953</v>
      </c>
      <c r="V31" s="215">
        <f>SUMIF('FF Deposit'!$A$2:$A$192,$B31,'FF Deposit'!AD$2:AD$192)</f>
        <v>43847.112198748953</v>
      </c>
      <c r="W31" s="215">
        <f>SUMIF('FF Deposit'!$A$2:$A$192,$B31,'FF Deposit'!AE$2:AE$192)</f>
        <v>43847.112198748953</v>
      </c>
      <c r="X31" s="215">
        <f>SUMIF('FF Deposit'!$A$2:$A$192,$B31,'FF Deposit'!AF$2:AF$192)</f>
        <v>43847.112198748953</v>
      </c>
      <c r="Y31" s="215">
        <f>SUMIF('FF Deposit'!$A$2:$A$192,$B31,'FF Deposit'!AG$2:AG$192)</f>
        <v>43847.112198748953</v>
      </c>
      <c r="Z31" s="215">
        <f>SUMIF('FF Deposit'!$A$2:$A$192,$B31,'FF Deposit'!AH$2:AH$192)</f>
        <v>59311.511153229752</v>
      </c>
      <c r="AA31" s="215">
        <f>SUMIF('FF Deposit'!$A$2:$A$192,$B31,'FF Deposit'!AI$2:AI$192)</f>
        <v>68757.924045084525</v>
      </c>
      <c r="AB31" s="215">
        <f>SUMIF('FF Deposit'!$A$2:$A$192,$B31,'FF Deposit'!AJ$2:AJ$192)</f>
        <v>93250.244739890739</v>
      </c>
      <c r="AC31" s="215">
        <f>SUMIF('FF Deposit'!$A$2:$A$192,$B31,'FF Deposit'!AK$2:AK$192)</f>
        <v>93250.244739890739</v>
      </c>
      <c r="AD31" s="215">
        <f>SUMIF('FF Deposit'!$A$2:$A$192,$B31,'FF Deposit'!AL$2:AL$192)</f>
        <v>93250.244739890739</v>
      </c>
      <c r="AE31" s="215">
        <f>SUMIF('FF Deposit'!$A$2:$A$192,$B31,'FF Deposit'!AM$2:AM$192)</f>
        <v>93250.244739890739</v>
      </c>
      <c r="AF31" s="215">
        <f>SUMIF('FF Deposit'!$A$2:$A$192,$B31,'FF Deposit'!AN$2:AN$192)</f>
        <v>93250.244739890739</v>
      </c>
      <c r="AG31" s="215">
        <f>SUMIF('FF Deposit'!$A$2:$A$192,$B31,'FF Deposit'!AO$2:AO$192)</f>
        <v>93250.244739890739</v>
      </c>
      <c r="AH31" s="61"/>
      <c r="AI31" s="62">
        <f t="shared" ref="AI31:AI42" si="8">SUM(C31:AH31)</f>
        <v>1595417.7062294341</v>
      </c>
    </row>
    <row r="32" spans="1:35">
      <c r="A32" s="55">
        <f t="shared" si="7"/>
        <v>3</v>
      </c>
      <c r="B32" s="1" t="str">
        <f t="shared" si="7"/>
        <v>Sealcoat</v>
      </c>
      <c r="C32" s="59"/>
      <c r="D32" s="215">
        <f>SUMIF('FF Deposit'!$A$2:$A$192,$B32,'FF Deposit'!L$2:L$192)</f>
        <v>19518.025143774532</v>
      </c>
      <c r="E32" s="215">
        <f>SUMIF('FF Deposit'!$A$2:$A$192,$B32,'FF Deposit'!M$2:M$192)</f>
        <v>20336.555928783237</v>
      </c>
      <c r="F32" s="215">
        <f>SUMIF('FF Deposit'!$A$2:$A$192,$B32,'FF Deposit'!N$2:N$192)</f>
        <v>20336.555928783237</v>
      </c>
      <c r="G32" s="215">
        <f>SUMIF('FF Deposit'!$A$2:$A$192,$B32,'FF Deposit'!O$2:O$192)</f>
        <v>20336.555928783237</v>
      </c>
      <c r="H32" s="215">
        <f>SUMIF('FF Deposit'!$A$2:$A$192,$B32,'FF Deposit'!P$2:P$192)</f>
        <v>21726.524809548711</v>
      </c>
      <c r="I32" s="215">
        <f>SUMIF('FF Deposit'!$A$2:$A$192,$B32,'FF Deposit'!Q$2:Q$192)</f>
        <v>22357.270951023816</v>
      </c>
      <c r="J32" s="215">
        <f>SUMIF('FF Deposit'!$A$2:$A$192,$B32,'FF Deposit'!R$2:R$192)</f>
        <v>23992.595165589912</v>
      </c>
      <c r="K32" s="215">
        <f>SUMIF('FF Deposit'!$A$2:$A$192,$B32,'FF Deposit'!S$2:S$192)</f>
        <v>24998.90367133206</v>
      </c>
      <c r="L32" s="215">
        <f>SUMIF('FF Deposit'!$A$2:$A$192,$B32,'FF Deposit'!T$2:T$192)</f>
        <v>24998.90367133206</v>
      </c>
      <c r="M32" s="215">
        <f>SUMIF('FF Deposit'!$A$2:$A$192,$B32,'FF Deposit'!U$2:U$192)</f>
        <v>24998.90367133206</v>
      </c>
      <c r="N32" s="215">
        <f>SUMIF('FF Deposit'!$A$2:$A$192,$B32,'FF Deposit'!V$2:V$192)</f>
        <v>26707.509382259908</v>
      </c>
      <c r="O32" s="215">
        <f>SUMIF('FF Deposit'!$A$2:$A$192,$B32,'FF Deposit'!W$2:W$192)</f>
        <v>27482.893703180409</v>
      </c>
      <c r="P32" s="215">
        <f>SUMIF('FF Deposit'!$A$2:$A$192,$B32,'FF Deposit'!X$2:X$192)</f>
        <v>29493.178147141251</v>
      </c>
      <c r="Q32" s="215">
        <f>SUMIF('FF Deposit'!$A$2:$A$192,$B32,'FF Deposit'!Y$2:Y$192)</f>
        <v>30730.022076451136</v>
      </c>
      <c r="R32" s="215">
        <f>SUMIF('FF Deposit'!$A$2:$A$192,$B32,'FF Deposit'!Z$2:Z$192)</f>
        <v>30730.022076451136</v>
      </c>
      <c r="S32" s="215">
        <f>SUMIF('FF Deposit'!$A$2:$A$192,$B32,'FF Deposit'!AA$2:AA$192)</f>
        <v>30730.022076451136</v>
      </c>
      <c r="T32" s="215">
        <f>SUMIF('FF Deposit'!$A$2:$A$192,$B32,'FF Deposit'!AB$2:AB$192)</f>
        <v>32830.499131318757</v>
      </c>
      <c r="U32" s="215">
        <f>SUMIF('FF Deposit'!$A$2:$A$192,$B32,'FF Deposit'!AC$2:AC$192)</f>
        <v>33783.547345275438</v>
      </c>
      <c r="V32" s="215">
        <f>SUMIF('FF Deposit'!$A$2:$A$192,$B32,'FF Deposit'!AD$2:AD$192)</f>
        <v>36254.708255744808</v>
      </c>
      <c r="W32" s="215">
        <f>SUMIF('FF Deposit'!$A$2:$A$192,$B32,'FF Deposit'!AE$2:AE$192)</f>
        <v>37775.153519780943</v>
      </c>
      <c r="X32" s="215">
        <f>SUMIF('FF Deposit'!$A$2:$A$192,$B32,'FF Deposit'!AF$2:AF$192)</f>
        <v>37775.153519780943</v>
      </c>
      <c r="Y32" s="215">
        <f>SUMIF('FF Deposit'!$A$2:$A$192,$B32,'FF Deposit'!AG$2:AG$192)</f>
        <v>37775.153519780943</v>
      </c>
      <c r="Z32" s="215">
        <f>SUMIF('FF Deposit'!$A$2:$A$192,$B32,'FF Deposit'!AH$2:AH$192)</f>
        <v>40356.917006987278</v>
      </c>
      <c r="AA32" s="215">
        <f>SUMIF('FF Deposit'!$A$2:$A$192,$B32,'FF Deposit'!AI$2:AI$192)</f>
        <v>41528.44904564054</v>
      </c>
      <c r="AB32" s="215">
        <f>SUMIF('FF Deposit'!$A$2:$A$192,$B32,'FF Deposit'!AJ$2:AJ$192)</f>
        <v>41528.44904564054</v>
      </c>
      <c r="AC32" s="215">
        <f>SUMIF('FF Deposit'!$A$2:$A$192,$B32,'FF Deposit'!AK$2:AK$192)</f>
        <v>41528.44904564054</v>
      </c>
      <c r="AD32" s="215">
        <f>SUMIF('FF Deposit'!$A$2:$A$192,$B32,'FF Deposit'!AL$2:AL$192)</f>
        <v>41528.44904564054</v>
      </c>
      <c r="AE32" s="215">
        <f>SUMIF('FF Deposit'!$A$2:$A$192,$B32,'FF Deposit'!AM$2:AM$192)</f>
        <v>41528.44904564054</v>
      </c>
      <c r="AF32" s="215">
        <f>SUMIF('FF Deposit'!$A$2:$A$192,$B32,'FF Deposit'!AN$2:AN$192)</f>
        <v>41528.44904564054</v>
      </c>
      <c r="AG32" s="215">
        <f>SUMIF('FF Deposit'!$A$2:$A$192,$B32,'FF Deposit'!AO$2:AO$192)</f>
        <v>41528.44904564054</v>
      </c>
      <c r="AH32" s="61"/>
      <c r="AI32" s="62">
        <f t="shared" ref="AI32:AI33" si="9">SUM(C32:AH32)</f>
        <v>946724.71795037074</v>
      </c>
    </row>
    <row r="33" spans="1:37">
      <c r="A33" s="55">
        <f t="shared" si="7"/>
        <v>4</v>
      </c>
      <c r="B33" s="1" t="str">
        <f t="shared" si="7"/>
        <v>Exterior</v>
      </c>
      <c r="C33" s="59"/>
      <c r="D33" s="215">
        <f>SUMIF('FF Deposit'!$A$2:$A$192,$B33,'FF Deposit'!L$2:L$192)</f>
        <v>6533.0196918571382</v>
      </c>
      <c r="E33" s="215">
        <f>SUMIF('FF Deposit'!$A$2:$A$192,$B33,'FF Deposit'!M$2:M$192)</f>
        <v>6533.0196918571382</v>
      </c>
      <c r="F33" s="215">
        <f>SUMIF('FF Deposit'!$A$2:$A$192,$B33,'FF Deposit'!N$2:N$192)</f>
        <v>6533.0196918571382</v>
      </c>
      <c r="G33" s="215">
        <f>SUMIF('FF Deposit'!$A$2:$A$192,$B33,'FF Deposit'!O$2:O$192)</f>
        <v>6533.0196918571382</v>
      </c>
      <c r="H33" s="215">
        <f>SUMIF('FF Deposit'!$A$2:$A$192,$B33,'FF Deposit'!P$2:P$192)</f>
        <v>6533.0196918571382</v>
      </c>
      <c r="I33" s="215">
        <f>SUMIF('FF Deposit'!$A$2:$A$192,$B33,'FF Deposit'!Q$2:Q$192)</f>
        <v>7166.0231326121821</v>
      </c>
      <c r="J33" s="215">
        <f>SUMIF('FF Deposit'!$A$2:$A$192,$B33,'FF Deposit'!R$2:R$192)</f>
        <v>7166.0231326121821</v>
      </c>
      <c r="K33" s="215">
        <f>SUMIF('FF Deposit'!$A$2:$A$192,$B33,'FF Deposit'!S$2:S$192)</f>
        <v>8884.1062054795984</v>
      </c>
      <c r="L33" s="215">
        <f>SUMIF('FF Deposit'!$A$2:$A$192,$B33,'FF Deposit'!T$2:T$192)</f>
        <v>8884.1062054795984</v>
      </c>
      <c r="M33" s="215">
        <f>SUMIF('FF Deposit'!$A$2:$A$192,$B33,'FF Deposit'!U$2:U$192)</f>
        <v>8884.1062054795984</v>
      </c>
      <c r="N33" s="215">
        <f>SUMIF('FF Deposit'!$A$2:$A$192,$B33,'FF Deposit'!V$2:V$192)</f>
        <v>8884.1062054795984</v>
      </c>
      <c r="O33" s="215">
        <f>SUMIF('FF Deposit'!$A$2:$A$192,$B33,'FF Deposit'!W$2:W$192)</f>
        <v>8884.1062054795984</v>
      </c>
      <c r="P33" s="215">
        <f>SUMIF('FF Deposit'!$A$2:$A$192,$B33,'FF Deposit'!X$2:X$192)</f>
        <v>8884.1062054795984</v>
      </c>
      <c r="Q33" s="215">
        <f>SUMIF('FF Deposit'!$A$2:$A$192,$B33,'FF Deposit'!Y$2:Y$192)</f>
        <v>10860.667951636704</v>
      </c>
      <c r="R33" s="215">
        <f>SUMIF('FF Deposit'!$A$2:$A$192,$B33,'FF Deposit'!Z$2:Z$192)</f>
        <v>10860.667951636704</v>
      </c>
      <c r="S33" s="215">
        <f>SUMIF('FF Deposit'!$A$2:$A$192,$B33,'FF Deposit'!AA$2:AA$192)</f>
        <v>12958.839866184851</v>
      </c>
      <c r="T33" s="215">
        <f>SUMIF('FF Deposit'!$A$2:$A$192,$B33,'FF Deposit'!AB$2:AB$192)</f>
        <v>12958.839866184851</v>
      </c>
      <c r="U33" s="215">
        <f>SUMIF('FF Deposit'!$A$2:$A$192,$B33,'FF Deposit'!AC$2:AC$192)</f>
        <v>12958.839866184851</v>
      </c>
      <c r="V33" s="215">
        <f>SUMIF('FF Deposit'!$A$2:$A$192,$B33,'FF Deposit'!AD$2:AD$192)</f>
        <v>12958.839866184851</v>
      </c>
      <c r="W33" s="215">
        <f>SUMIF('FF Deposit'!$A$2:$A$192,$B33,'FF Deposit'!AE$2:AE$192)</f>
        <v>12958.839866184851</v>
      </c>
      <c r="X33" s="215">
        <f>SUMIF('FF Deposit'!$A$2:$A$192,$B33,'FF Deposit'!AF$2:AF$192)</f>
        <v>12958.839866184851</v>
      </c>
      <c r="Y33" s="215">
        <f>SUMIF('FF Deposit'!$A$2:$A$192,$B33,'FF Deposit'!AG$2:AG$192)</f>
        <v>14056.364788061021</v>
      </c>
      <c r="Z33" s="215">
        <f>SUMIF('FF Deposit'!$A$2:$A$192,$B33,'FF Deposit'!AH$2:AH$192)</f>
        <v>14056.364788061021</v>
      </c>
      <c r="AA33" s="215">
        <f>SUMIF('FF Deposit'!$A$2:$A$192,$B33,'FF Deposit'!AI$2:AI$192)</f>
        <v>14056.364788061021</v>
      </c>
      <c r="AB33" s="215">
        <f>SUMIF('FF Deposit'!$A$2:$A$192,$B33,'FF Deposit'!AJ$2:AJ$192)</f>
        <v>14056.364788061021</v>
      </c>
      <c r="AC33" s="215">
        <f>SUMIF('FF Deposit'!$A$2:$A$192,$B33,'FF Deposit'!AK$2:AK$192)</f>
        <v>14056.364788061021</v>
      </c>
      <c r="AD33" s="215">
        <f>SUMIF('FF Deposit'!$A$2:$A$192,$B33,'FF Deposit'!AL$2:AL$192)</f>
        <v>14056.364788061021</v>
      </c>
      <c r="AE33" s="215">
        <f>SUMIF('FF Deposit'!$A$2:$A$192,$B33,'FF Deposit'!AM$2:AM$192)</f>
        <v>14056.364788061021</v>
      </c>
      <c r="AF33" s="215">
        <f>SUMIF('FF Deposit'!$A$2:$A$192,$B33,'FF Deposit'!AN$2:AN$192)</f>
        <v>14056.364788061021</v>
      </c>
      <c r="AG33" s="215">
        <f>SUMIF('FF Deposit'!$A$2:$A$192,$B33,'FF Deposit'!AO$2:AO$192)</f>
        <v>15501.691520393837</v>
      </c>
      <c r="AH33" s="61"/>
      <c r="AI33" s="62">
        <f t="shared" si="9"/>
        <v>327728.76688265213</v>
      </c>
    </row>
    <row r="34" spans="1:37">
      <c r="A34" s="55">
        <f t="shared" si="7"/>
        <v>5</v>
      </c>
      <c r="B34" s="1" t="str">
        <f t="shared" si="7"/>
        <v>Club Flooring</v>
      </c>
      <c r="C34" s="59"/>
      <c r="D34" s="215">
        <f>SUMIF('FF Deposit'!$A$2:$A$192,$B34,'FF Deposit'!L$2:L$192)</f>
        <v>17594.312121257553</v>
      </c>
      <c r="E34" s="215">
        <f>SUMIF('FF Deposit'!$A$2:$A$192,$B34,'FF Deposit'!M$2:M$192)</f>
        <v>19648.612421841557</v>
      </c>
      <c r="F34" s="215">
        <f>SUMIF('FF Deposit'!$A$2:$A$192,$B34,'FF Deposit'!N$2:N$192)</f>
        <v>21122.897369550647</v>
      </c>
      <c r="G34" s="215">
        <f>SUMIF('FF Deposit'!$A$2:$A$192,$B34,'FF Deposit'!O$2:O$192)</f>
        <v>21914.825367656209</v>
      </c>
      <c r="H34" s="215">
        <f>SUMIF('FF Deposit'!$A$2:$A$192,$B34,'FF Deposit'!P$2:P$192)</f>
        <v>21914.825367656209</v>
      </c>
      <c r="I34" s="215">
        <f>SUMIF('FF Deposit'!$A$2:$A$192,$B34,'FF Deposit'!Q$2:Q$192)</f>
        <v>21914.825367656209</v>
      </c>
      <c r="J34" s="215">
        <f>SUMIF('FF Deposit'!$A$2:$A$192,$B34,'FF Deposit'!R$2:R$192)</f>
        <v>21914.825367656209</v>
      </c>
      <c r="K34" s="215">
        <f>SUMIF('FF Deposit'!$A$2:$A$192,$B34,'FF Deposit'!S$2:S$192)</f>
        <v>23086.524814554337</v>
      </c>
      <c r="L34" s="215">
        <f>SUMIF('FF Deposit'!$A$2:$A$192,$B34,'FF Deposit'!T$2:T$192)</f>
        <v>24026.978868875063</v>
      </c>
      <c r="M34" s="215">
        <f>SUMIF('FF Deposit'!$A$2:$A$192,$B34,'FF Deposit'!U$2:U$192)</f>
        <v>27374.628158812317</v>
      </c>
      <c r="N34" s="215">
        <f>SUMIF('FF Deposit'!$A$2:$A$192,$B34,'FF Deposit'!V$2:V$192)</f>
        <v>27374.628158812317</v>
      </c>
      <c r="O34" s="215">
        <f>SUMIF('FF Deposit'!$A$2:$A$192,$B34,'FF Deposit'!W$2:W$192)</f>
        <v>27374.628158812317</v>
      </c>
      <c r="P34" s="215">
        <f>SUMIF('FF Deposit'!$A$2:$A$192,$B34,'FF Deposit'!X$2:X$192)</f>
        <v>29454.251569666136</v>
      </c>
      <c r="Q34" s="215">
        <f>SUMIF('FF Deposit'!$A$2:$A$192,$B34,'FF Deposit'!Y$2:Y$192)</f>
        <v>30571.453588664233</v>
      </c>
      <c r="R34" s="215">
        <f>SUMIF('FF Deposit'!$A$2:$A$192,$B34,'FF Deposit'!Z$2:Z$192)</f>
        <v>30571.453588664233</v>
      </c>
      <c r="S34" s="215">
        <f>SUMIF('FF Deposit'!$A$2:$A$192,$B34,'FF Deposit'!AA$2:AA$192)</f>
        <v>30571.453588664233</v>
      </c>
      <c r="T34" s="215">
        <f>SUMIF('FF Deposit'!$A$2:$A$192,$B34,'FF Deposit'!AB$2:AB$192)</f>
        <v>30571.453588664233</v>
      </c>
      <c r="U34" s="215">
        <f>SUMIF('FF Deposit'!$A$2:$A$192,$B34,'FF Deposit'!AC$2:AC$192)</f>
        <v>34133.555647407054</v>
      </c>
      <c r="V34" s="215">
        <f>SUMIF('FF Deposit'!$A$2:$A$192,$B34,'FF Deposit'!AD$2:AD$192)</f>
        <v>35460.304222465958</v>
      </c>
      <c r="W34" s="215">
        <f>SUMIF('FF Deposit'!$A$2:$A$192,$B34,'FF Deposit'!AE$2:AE$192)</f>
        <v>36366.685073912879</v>
      </c>
      <c r="X34" s="215">
        <f>SUMIF('FF Deposit'!$A$2:$A$192,$B34,'FF Deposit'!AF$2:AF$192)</f>
        <v>36366.685073912879</v>
      </c>
      <c r="Y34" s="215">
        <f>SUMIF('FF Deposit'!$A$2:$A$192,$B34,'FF Deposit'!AG$2:AG$192)</f>
        <v>36366.685073912879</v>
      </c>
      <c r="Z34" s="215">
        <f>SUMIF('FF Deposit'!$A$2:$A$192,$B34,'FF Deposit'!AH$2:AH$192)</f>
        <v>41263.176638766323</v>
      </c>
      <c r="AA34" s="215">
        <f>SUMIF('FF Deposit'!$A$2:$A$192,$B34,'FF Deposit'!AI$2:AI$192)</f>
        <v>42838.87563314529</v>
      </c>
      <c r="AB34" s="215">
        <f>SUMIF('FF Deposit'!$A$2:$A$192,$B34,'FF Deposit'!AJ$2:AJ$192)</f>
        <v>42838.87563314529</v>
      </c>
      <c r="AC34" s="215">
        <f>SUMIF('FF Deposit'!$A$2:$A$192,$B34,'FF Deposit'!AK$2:AK$192)</f>
        <v>47529.537236851189</v>
      </c>
      <c r="AD34" s="215">
        <f>SUMIF('FF Deposit'!$A$2:$A$192,$B34,'FF Deposit'!AL$2:AL$192)</f>
        <v>47529.537236851189</v>
      </c>
      <c r="AE34" s="215">
        <f>SUMIF('FF Deposit'!$A$2:$A$192,$B34,'FF Deposit'!AM$2:AM$192)</f>
        <v>47529.537236851189</v>
      </c>
      <c r="AF34" s="215">
        <f>SUMIF('FF Deposit'!$A$2:$A$192,$B34,'FF Deposit'!AN$2:AN$192)</f>
        <v>49401.106857668172</v>
      </c>
      <c r="AG34" s="215">
        <f>SUMIF('FF Deposit'!$A$2:$A$192,$B34,'FF Deposit'!AO$2:AO$192)</f>
        <v>50679.760432905488</v>
      </c>
      <c r="AH34" s="53"/>
      <c r="AI34" s="62">
        <f t="shared" si="8"/>
        <v>975306.89946525986</v>
      </c>
    </row>
    <row r="35" spans="1:37">
      <c r="A35" s="55">
        <f t="shared" si="7"/>
        <v>6</v>
      </c>
      <c r="B35" s="1" t="str">
        <f t="shared" si="7"/>
        <v>Club HVAC</v>
      </c>
      <c r="C35" s="63"/>
      <c r="D35" s="215">
        <f>SUMIF('FF Deposit'!$A$2:$A$192,$B35,'FF Deposit'!L$2:L$192)</f>
        <v>48170.180758941802</v>
      </c>
      <c r="E35" s="215">
        <f>SUMIF('FF Deposit'!$A$2:$A$192,$B35,'FF Deposit'!M$2:M$192)</f>
        <v>48562.617399399256</v>
      </c>
      <c r="F35" s="215">
        <f>SUMIF('FF Deposit'!$A$2:$A$192,$B35,'FF Deposit'!N$2:N$192)</f>
        <v>48562.617399399256</v>
      </c>
      <c r="G35" s="215">
        <f>SUMIF('FF Deposit'!$A$2:$A$192,$B35,'FF Deposit'!O$2:O$192)</f>
        <v>48562.617399399256</v>
      </c>
      <c r="H35" s="215">
        <f>SUMIF('FF Deposit'!$A$2:$A$192,$B35,'FF Deposit'!P$2:P$192)</f>
        <v>49298.724268755264</v>
      </c>
      <c r="I35" s="215">
        <f>SUMIF('FF Deposit'!$A$2:$A$192,$B35,'FF Deposit'!Q$2:Q$192)</f>
        <v>49298.724268755264</v>
      </c>
      <c r="J35" s="215">
        <f>SUMIF('FF Deposit'!$A$2:$A$192,$B35,'FF Deposit'!R$2:R$192)</f>
        <v>49764.965355990556</v>
      </c>
      <c r="K35" s="215">
        <f>SUMIF('FF Deposit'!$A$2:$A$192,$B35,'FF Deposit'!S$2:S$192)</f>
        <v>69196.852983387216</v>
      </c>
      <c r="L35" s="215">
        <f>SUMIF('FF Deposit'!$A$2:$A$192,$B35,'FF Deposit'!T$2:T$192)</f>
        <v>69196.852983387216</v>
      </c>
      <c r="M35" s="215">
        <f>SUMIF('FF Deposit'!$A$2:$A$192,$B35,'FF Deposit'!U$2:U$192)</f>
        <v>69196.852983387216</v>
      </c>
      <c r="N35" s="215">
        <f>SUMIF('FF Deposit'!$A$2:$A$192,$B35,'FF Deposit'!V$2:V$192)</f>
        <v>69196.852983387216</v>
      </c>
      <c r="O35" s="215">
        <f>SUMIF('FF Deposit'!$A$2:$A$192,$B35,'FF Deposit'!W$2:W$192)</f>
        <v>69750.3292129826</v>
      </c>
      <c r="P35" s="215">
        <f>SUMIF('FF Deposit'!$A$2:$A$192,$B35,'FF Deposit'!X$2:X$192)</f>
        <v>85800.928935595191</v>
      </c>
      <c r="Q35" s="215">
        <f>SUMIF('FF Deposit'!$A$2:$A$192,$B35,'FF Deposit'!Y$2:Y$192)</f>
        <v>85800.928935595191</v>
      </c>
      <c r="R35" s="215">
        <f>SUMIF('FF Deposit'!$A$2:$A$192,$B35,'FF Deposit'!Z$2:Z$192)</f>
        <v>85800.928935595191</v>
      </c>
      <c r="S35" s="215">
        <f>SUMIF('FF Deposit'!$A$2:$A$192,$B35,'FF Deposit'!AA$2:AA$192)</f>
        <v>85800.928935595191</v>
      </c>
      <c r="T35" s="215">
        <f>SUMIF('FF Deposit'!$A$2:$A$192,$B35,'FF Deposit'!AB$2:AB$192)</f>
        <v>86458.495139233826</v>
      </c>
      <c r="U35" s="215">
        <f>SUMIF('FF Deposit'!$A$2:$A$192,$B35,'FF Deposit'!AC$2:AC$192)</f>
        <v>86458.495139233826</v>
      </c>
      <c r="V35" s="215">
        <f>SUMIF('FF Deposit'!$A$2:$A$192,$B35,'FF Deposit'!AD$2:AD$192)</f>
        <v>86458.495139233826</v>
      </c>
      <c r="W35" s="215">
        <f>SUMIF('FF Deposit'!$A$2:$A$192,$B35,'FF Deposit'!AE$2:AE$192)</f>
        <v>87691.714292543387</v>
      </c>
      <c r="X35" s="215">
        <f>SUMIF('FF Deposit'!$A$2:$A$192,$B35,'FF Deposit'!AF$2:AF$192)</f>
        <v>87691.714292543387</v>
      </c>
      <c r="Y35" s="215">
        <f>SUMIF('FF Deposit'!$A$2:$A$192,$B35,'FF Deposit'!AG$2:AG$192)</f>
        <v>88472.502981865604</v>
      </c>
      <c r="Z35" s="215">
        <f>SUMIF('FF Deposit'!$A$2:$A$192,$B35,'FF Deposit'!AH$2:AH$192)</f>
        <v>121027.00718686149</v>
      </c>
      <c r="AA35" s="215">
        <f>SUMIF('FF Deposit'!$A$2:$A$192,$B35,'FF Deposit'!AI$2:AI$192)</f>
        <v>121027.00718686149</v>
      </c>
      <c r="AB35" s="215">
        <f>SUMIF('FF Deposit'!$A$2:$A$192,$B35,'FF Deposit'!AJ$2:AJ$192)</f>
        <v>121027.00718686149</v>
      </c>
      <c r="AC35" s="215">
        <f>SUMIF('FF Deposit'!$A$2:$A$192,$B35,'FF Deposit'!AK$2:AK$192)</f>
        <v>121027.00718686149</v>
      </c>
      <c r="AD35" s="215">
        <f>SUMIF('FF Deposit'!$A$2:$A$192,$B35,'FF Deposit'!AL$2:AL$192)</f>
        <v>121954.47846542626</v>
      </c>
      <c r="AE35" s="215">
        <f>SUMIF('FF Deposit'!$A$2:$A$192,$B35,'FF Deposit'!AM$2:AM$192)</f>
        <v>121954.47846542626</v>
      </c>
      <c r="AF35" s="215">
        <f>SUMIF('FF Deposit'!$A$2:$A$192,$B35,'FF Deposit'!AN$2:AN$192)</f>
        <v>121954.47846542626</v>
      </c>
      <c r="AG35" s="215">
        <f>SUMIF('FF Deposit'!$A$2:$A$192,$B35,'FF Deposit'!AO$2:AO$192)</f>
        <v>121954.47846542626</v>
      </c>
      <c r="AH35" s="17"/>
      <c r="AI35" s="62">
        <f t="shared" si="8"/>
        <v>2527119.2633333579</v>
      </c>
      <c r="AJ35" s="17"/>
      <c r="AK35" s="2"/>
    </row>
    <row r="36" spans="1:37">
      <c r="A36" s="55">
        <f t="shared" si="7"/>
        <v>7</v>
      </c>
      <c r="B36" s="1" t="str">
        <f t="shared" si="7"/>
        <v>Club Exterior</v>
      </c>
      <c r="C36" s="59"/>
      <c r="D36" s="215">
        <f>SUMIF('FF Deposit'!$A$2:$A$192,$B36,'FF Deposit'!L$2:L$192)</f>
        <v>28719.150901314562</v>
      </c>
      <c r="E36" s="215">
        <f>SUMIF('FF Deposit'!$A$2:$A$192,$B36,'FF Deposit'!M$2:M$192)</f>
        <v>28719.150901314562</v>
      </c>
      <c r="F36" s="215">
        <f>SUMIF('FF Deposit'!$A$2:$A$192,$B36,'FF Deposit'!N$2:N$192)</f>
        <v>30685.262324388626</v>
      </c>
      <c r="G36" s="215">
        <f>SUMIF('FF Deposit'!$A$2:$A$192,$B36,'FF Deposit'!O$2:O$192)</f>
        <v>30685.262324388626</v>
      </c>
      <c r="H36" s="215">
        <f>SUMIF('FF Deposit'!$A$2:$A$192,$B36,'FF Deposit'!P$2:P$192)</f>
        <v>30685.262324388626</v>
      </c>
      <c r="I36" s="215">
        <f>SUMIF('FF Deposit'!$A$2:$A$192,$B36,'FF Deposit'!Q$2:Q$192)</f>
        <v>30685.262324388626</v>
      </c>
      <c r="J36" s="215">
        <f>SUMIF('FF Deposit'!$A$2:$A$192,$B36,'FF Deposit'!R$2:R$192)</f>
        <v>30685.262324388626</v>
      </c>
      <c r="K36" s="215">
        <f>SUMIF('FF Deposit'!$A$2:$A$192,$B36,'FF Deposit'!S$2:S$192)</f>
        <v>30685.262324388626</v>
      </c>
      <c r="L36" s="215">
        <f>SUMIF('FF Deposit'!$A$2:$A$192,$B36,'FF Deposit'!T$2:T$192)</f>
        <v>30685.262324388626</v>
      </c>
      <c r="M36" s="215">
        <f>SUMIF('FF Deposit'!$A$2:$A$192,$B36,'FF Deposit'!U$2:U$192)</f>
        <v>30685.262324388626</v>
      </c>
      <c r="N36" s="215">
        <f>SUMIF('FF Deposit'!$A$2:$A$192,$B36,'FF Deposit'!V$2:V$192)</f>
        <v>30685.262324388626</v>
      </c>
      <c r="O36" s="215">
        <f>SUMIF('FF Deposit'!$A$2:$A$192,$B36,'FF Deposit'!W$2:W$192)</f>
        <v>30685.262324388626</v>
      </c>
      <c r="P36" s="215">
        <f>SUMIF('FF Deposit'!$A$2:$A$192,$B36,'FF Deposit'!X$2:X$192)</f>
        <v>33458.777470836576</v>
      </c>
      <c r="Q36" s="215">
        <f>SUMIF('FF Deposit'!$A$2:$A$192,$B36,'FF Deposit'!Y$2:Y$192)</f>
        <v>33458.777470836576</v>
      </c>
      <c r="R36" s="215">
        <f>SUMIF('FF Deposit'!$A$2:$A$192,$B36,'FF Deposit'!Z$2:Z$192)</f>
        <v>33458.777470836576</v>
      </c>
      <c r="S36" s="215">
        <f>SUMIF('FF Deposit'!$A$2:$A$192,$B36,'FF Deposit'!AA$2:AA$192)</f>
        <v>33458.777470836576</v>
      </c>
      <c r="T36" s="215">
        <f>SUMIF('FF Deposit'!$A$2:$A$192,$B36,'FF Deposit'!AB$2:AB$192)</f>
        <v>34212.915385302091</v>
      </c>
      <c r="U36" s="215">
        <f>SUMIF('FF Deposit'!$A$2:$A$192,$B36,'FF Deposit'!AC$2:AC$192)</f>
        <v>63546.34643529699</v>
      </c>
      <c r="V36" s="215">
        <f>SUMIF('FF Deposit'!$A$2:$A$192,$B36,'FF Deposit'!AD$2:AD$192)</f>
        <v>63546.34643529699</v>
      </c>
      <c r="W36" s="215">
        <f>SUMIF('FF Deposit'!$A$2:$A$192,$B36,'FF Deposit'!AE$2:AE$192)</f>
        <v>63546.34643529699</v>
      </c>
      <c r="X36" s="215">
        <f>SUMIF('FF Deposit'!$A$2:$A$192,$B36,'FF Deposit'!AF$2:AF$192)</f>
        <v>63546.34643529699</v>
      </c>
      <c r="Y36" s="215">
        <f>SUMIF('FF Deposit'!$A$2:$A$192,$B36,'FF Deposit'!AG$2:AG$192)</f>
        <v>63546.34643529699</v>
      </c>
      <c r="Z36" s="215">
        <f>SUMIF('FF Deposit'!$A$2:$A$192,$B36,'FF Deposit'!AH$2:AH$192)</f>
        <v>70819.474814447138</v>
      </c>
      <c r="AA36" s="215">
        <f>SUMIF('FF Deposit'!$A$2:$A$192,$B36,'FF Deposit'!AI$2:AI$192)</f>
        <v>70819.474814447138</v>
      </c>
      <c r="AB36" s="215">
        <f>SUMIF('FF Deposit'!$A$2:$A$192,$B36,'FF Deposit'!AJ$2:AJ$192)</f>
        <v>70819.474814447138</v>
      </c>
      <c r="AC36" s="215">
        <f>SUMIF('FF Deposit'!$A$2:$A$192,$B36,'FF Deposit'!AK$2:AK$192)</f>
        <v>70819.474814447138</v>
      </c>
      <c r="AD36" s="215">
        <f>SUMIF('FF Deposit'!$A$2:$A$192,$B36,'FF Deposit'!AL$2:AL$192)</f>
        <v>70819.474814447138</v>
      </c>
      <c r="AE36" s="215">
        <f>SUMIF('FF Deposit'!$A$2:$A$192,$B36,'FF Deposit'!AM$2:AM$192)</f>
        <v>70819.474814447138</v>
      </c>
      <c r="AF36" s="215">
        <f>SUMIF('FF Deposit'!$A$2:$A$192,$B36,'FF Deposit'!AN$2:AN$192)</f>
        <v>70819.474814447138</v>
      </c>
      <c r="AG36" s="215">
        <f>SUMIF('FF Deposit'!$A$2:$A$192,$B36,'FF Deposit'!AO$2:AO$192)</f>
        <v>70819.474814447138</v>
      </c>
      <c r="AH36" s="53"/>
      <c r="AI36" s="62">
        <f t="shared" si="8"/>
        <v>1416626.4810072258</v>
      </c>
    </row>
    <row r="37" spans="1:37">
      <c r="A37" s="55">
        <f t="shared" si="7"/>
        <v>8</v>
      </c>
      <c r="B37" s="1" t="str">
        <f t="shared" si="7"/>
        <v>Clubhouse Equip</v>
      </c>
      <c r="C37" s="64"/>
      <c r="D37" s="215">
        <f>SUMIF('FF Deposit'!$A$2:$A$192,$B37,'FF Deposit'!L$2:L$192)</f>
        <v>47761.129735382099</v>
      </c>
      <c r="E37" s="215">
        <f>SUMIF('FF Deposit'!$A$2:$A$192,$B37,'FF Deposit'!M$2:M$192)</f>
        <v>48378.862944598826</v>
      </c>
      <c r="F37" s="215">
        <f>SUMIF('FF Deposit'!$A$2:$A$192,$B37,'FF Deposit'!N$2:N$192)</f>
        <v>54289.877553631268</v>
      </c>
      <c r="G37" s="215">
        <f>SUMIF('FF Deposit'!$A$2:$A$192,$B37,'FF Deposit'!O$2:O$192)</f>
        <v>54289.877553631268</v>
      </c>
      <c r="H37" s="215">
        <f>SUMIF('FF Deposit'!$A$2:$A$192,$B37,'FF Deposit'!P$2:P$192)</f>
        <v>54569.363683205935</v>
      </c>
      <c r="I37" s="215">
        <f>SUMIF('FF Deposit'!$A$2:$A$192,$B37,'FF Deposit'!Q$2:Q$192)</f>
        <v>54569.363683205935</v>
      </c>
      <c r="J37" s="215">
        <f>SUMIF('FF Deposit'!$A$2:$A$192,$B37,'FF Deposit'!R$2:R$192)</f>
        <v>54569.363683205935</v>
      </c>
      <c r="K37" s="215">
        <f>SUMIF('FF Deposit'!$A$2:$A$192,$B37,'FF Deposit'!S$2:S$192)</f>
        <v>68638.364215740003</v>
      </c>
      <c r="L37" s="215">
        <f>SUMIF('FF Deposit'!$A$2:$A$192,$B37,'FF Deposit'!T$2:T$192)</f>
        <v>68638.364215740003</v>
      </c>
      <c r="M37" s="215">
        <f>SUMIF('FF Deposit'!$A$2:$A$192,$B37,'FF Deposit'!U$2:U$192)</f>
        <v>69725.675493890129</v>
      </c>
      <c r="N37" s="215">
        <f>SUMIF('FF Deposit'!$A$2:$A$192,$B37,'FF Deposit'!V$2:V$192)</f>
        <v>71657.439535565791</v>
      </c>
      <c r="O37" s="215">
        <f>SUMIF('FF Deposit'!$A$2:$A$192,$B37,'FF Deposit'!W$2:W$192)</f>
        <v>71657.439535565791</v>
      </c>
      <c r="P37" s="215">
        <f>SUMIF('FF Deposit'!$A$2:$A$192,$B37,'FF Deposit'!X$2:X$192)</f>
        <v>79491.996284377412</v>
      </c>
      <c r="Q37" s="215">
        <f>SUMIF('FF Deposit'!$A$2:$A$192,$B37,'FF Deposit'!Y$2:Y$192)</f>
        <v>79491.996284377412</v>
      </c>
      <c r="R37" s="215">
        <f>SUMIF('FF Deposit'!$A$2:$A$192,$B37,'FF Deposit'!Z$2:Z$192)</f>
        <v>79491.996284377412</v>
      </c>
      <c r="S37" s="215">
        <f>SUMIF('FF Deposit'!$A$2:$A$192,$B37,'FF Deposit'!AA$2:AA$192)</f>
        <v>79491.996284377412</v>
      </c>
      <c r="T37" s="215">
        <f>SUMIF('FF Deposit'!$A$2:$A$192,$B37,'FF Deposit'!AB$2:AB$192)</f>
        <v>79914.247043359064</v>
      </c>
      <c r="U37" s="215">
        <f>SUMIF('FF Deposit'!$A$2:$A$192,$B37,'FF Deposit'!AC$2:AC$192)</f>
        <v>79914.247043359064</v>
      </c>
      <c r="V37" s="215">
        <f>SUMIF('FF Deposit'!$A$2:$A$192,$B37,'FF Deposit'!AD$2:AD$192)</f>
        <v>79914.247043359064</v>
      </c>
      <c r="W37" s="215">
        <f>SUMIF('FF Deposit'!$A$2:$A$192,$B37,'FF Deposit'!AE$2:AE$192)</f>
        <v>82595.420195030762</v>
      </c>
      <c r="X37" s="215">
        <f>SUMIF('FF Deposit'!$A$2:$A$192,$B37,'FF Deposit'!AF$2:AF$192)</f>
        <v>84132.984769004819</v>
      </c>
      <c r="Y37" s="215">
        <f>SUMIF('FF Deposit'!$A$2:$A$192,$B37,'FF Deposit'!AG$2:AG$192)</f>
        <v>84132.984769004819</v>
      </c>
      <c r="Z37" s="215">
        <f>SUMIF('FF Deposit'!$A$2:$A$192,$B37,'FF Deposit'!AH$2:AH$192)</f>
        <v>118383.07169311953</v>
      </c>
      <c r="AA37" s="215">
        <f>SUMIF('FF Deposit'!$A$2:$A$192,$B37,'FF Deposit'!AI$2:AI$192)</f>
        <v>118383.07169311953</v>
      </c>
      <c r="AB37" s="215">
        <f>SUMIF('FF Deposit'!$A$2:$A$192,$B37,'FF Deposit'!AJ$2:AJ$192)</f>
        <v>118383.07169311953</v>
      </c>
      <c r="AC37" s="215">
        <f>SUMIF('FF Deposit'!$A$2:$A$192,$B37,'FF Deposit'!AK$2:AK$192)</f>
        <v>118383.07169311953</v>
      </c>
      <c r="AD37" s="215">
        <f>SUMIF('FF Deposit'!$A$2:$A$192,$B37,'FF Deposit'!AL$2:AL$192)</f>
        <v>118383.07169311953</v>
      </c>
      <c r="AE37" s="215">
        <f>SUMIF('FF Deposit'!$A$2:$A$192,$B37,'FF Deposit'!AM$2:AM$192)</f>
        <v>122046.32330065744</v>
      </c>
      <c r="AF37" s="215">
        <f>SUMIF('FF Deposit'!$A$2:$A$192,$B37,'FF Deposit'!AN$2:AN$192)</f>
        <v>124248.26231515367</v>
      </c>
      <c r="AG37" s="215">
        <f>SUMIF('FF Deposit'!$A$2:$A$192,$B37,'FF Deposit'!AO$2:AO$192)</f>
        <v>126411.75288458788</v>
      </c>
      <c r="AI37" s="62">
        <f t="shared" si="8"/>
        <v>2491938.9347999869</v>
      </c>
    </row>
    <row r="38" spans="1:37">
      <c r="A38" s="55">
        <f t="shared" si="7"/>
        <v>9</v>
      </c>
      <c r="B38" s="1" t="str">
        <f t="shared" si="7"/>
        <v>Pools</v>
      </c>
      <c r="C38" s="64"/>
      <c r="D38" s="215">
        <f>SUMIF('FF Deposit'!$A$2:$A$192,$B38,'FF Deposit'!L$2:L$192)</f>
        <v>28729.177149724455</v>
      </c>
      <c r="E38" s="215">
        <f>SUMIF('FF Deposit'!$A$2:$A$192,$B38,'FF Deposit'!M$2:M$192)</f>
        <v>28729.177149724455</v>
      </c>
      <c r="F38" s="215">
        <f>SUMIF('FF Deposit'!$A$2:$A$192,$B38,'FF Deposit'!N$2:N$192)</f>
        <v>29377.21900148609</v>
      </c>
      <c r="G38" s="215">
        <f>SUMIF('FF Deposit'!$A$2:$A$192,$B38,'FF Deposit'!O$2:O$192)</f>
        <v>29377.21900148609</v>
      </c>
      <c r="H38" s="215">
        <f>SUMIF('FF Deposit'!$A$2:$A$192,$B38,'FF Deposit'!P$2:P$192)</f>
        <v>32130.706301724211</v>
      </c>
      <c r="I38" s="215">
        <f>SUMIF('FF Deposit'!$A$2:$A$192,$B38,'FF Deposit'!Q$2:Q$192)</f>
        <v>32130.706301724211</v>
      </c>
      <c r="J38" s="215">
        <f>SUMIF('FF Deposit'!$A$2:$A$192,$B38,'FF Deposit'!R$2:R$192)</f>
        <v>32130.706301724211</v>
      </c>
      <c r="K38" s="215">
        <f>SUMIF('FF Deposit'!$A$2:$A$192,$B38,'FF Deposit'!S$2:S$192)</f>
        <v>38491.094583503051</v>
      </c>
      <c r="L38" s="215">
        <f>SUMIF('FF Deposit'!$A$2:$A$192,$B38,'FF Deposit'!T$2:T$192)</f>
        <v>41605.970782601013</v>
      </c>
      <c r="M38" s="215">
        <f>SUMIF('FF Deposit'!$A$2:$A$192,$B38,'FF Deposit'!U$2:U$192)</f>
        <v>42122.548596890047</v>
      </c>
      <c r="N38" s="215">
        <f>SUMIF('FF Deposit'!$A$2:$A$192,$B38,'FF Deposit'!V$2:V$192)</f>
        <v>42122.548596890047</v>
      </c>
      <c r="O38" s="215">
        <f>SUMIF('FF Deposit'!$A$2:$A$192,$B38,'FF Deposit'!W$2:W$192)</f>
        <v>42122.548596890047</v>
      </c>
      <c r="P38" s="215">
        <f>SUMIF('FF Deposit'!$A$2:$A$192,$B38,'FF Deposit'!X$2:X$192)</f>
        <v>50176.022462082328</v>
      </c>
      <c r="Q38" s="215">
        <f>SUMIF('FF Deposit'!$A$2:$A$192,$B38,'FF Deposit'!Y$2:Y$192)</f>
        <v>51612.339755167734</v>
      </c>
      <c r="R38" s="215">
        <f>SUMIF('FF Deposit'!$A$2:$A$192,$B38,'FF Deposit'!Z$2:Z$192)</f>
        <v>54618.967695937288</v>
      </c>
      <c r="S38" s="215">
        <f>SUMIF('FF Deposit'!$A$2:$A$192,$B38,'FF Deposit'!AA$2:AA$192)</f>
        <v>54618.967695937288</v>
      </c>
      <c r="T38" s="215">
        <f>SUMIF('FF Deposit'!$A$2:$A$192,$B38,'FF Deposit'!AB$2:AB$192)</f>
        <v>54618.967695937288</v>
      </c>
      <c r="U38" s="215">
        <f>SUMIF('FF Deposit'!$A$2:$A$192,$B38,'FF Deposit'!AC$2:AC$192)</f>
        <v>55282.758272417108</v>
      </c>
      <c r="V38" s="215">
        <f>SUMIF('FF Deposit'!$A$2:$A$192,$B38,'FF Deposit'!AD$2:AD$192)</f>
        <v>55641.69432267177</v>
      </c>
      <c r="W38" s="215">
        <f>SUMIF('FF Deposit'!$A$2:$A$192,$B38,'FF Deposit'!AE$2:AE$192)</f>
        <v>56370.779676965933</v>
      </c>
      <c r="X38" s="215">
        <f>SUMIF('FF Deposit'!$A$2:$A$192,$B38,'FF Deposit'!AF$2:AF$192)</f>
        <v>56370.779676965933</v>
      </c>
      <c r="Y38" s="215">
        <f>SUMIF('FF Deposit'!$A$2:$A$192,$B38,'FF Deposit'!AG$2:AG$192)</f>
        <v>56370.779676965933</v>
      </c>
      <c r="Z38" s="215">
        <f>SUMIF('FF Deposit'!$A$2:$A$192,$B38,'FF Deposit'!AH$2:AH$192)</f>
        <v>68316.2689503359</v>
      </c>
      <c r="AA38" s="215">
        <f>SUMIF('FF Deposit'!$A$2:$A$192,$B38,'FF Deposit'!AI$2:AI$192)</f>
        <v>73108.722855429427</v>
      </c>
      <c r="AB38" s="215">
        <f>SUMIF('FF Deposit'!$A$2:$A$192,$B38,'FF Deposit'!AJ$2:AJ$192)</f>
        <v>73974.469007154563</v>
      </c>
      <c r="AC38" s="215">
        <f>SUMIF('FF Deposit'!$A$2:$A$192,$B38,'FF Deposit'!AK$2:AK$192)</f>
        <v>73974.469007154563</v>
      </c>
      <c r="AD38" s="215">
        <f>SUMIF('FF Deposit'!$A$2:$A$192,$B38,'FF Deposit'!AL$2:AL$192)</f>
        <v>73974.469007154563</v>
      </c>
      <c r="AE38" s="215">
        <f>SUMIF('FF Deposit'!$A$2:$A$192,$B38,'FF Deposit'!AM$2:AM$192)</f>
        <v>73974.469007154563</v>
      </c>
      <c r="AF38" s="215">
        <f>SUMIF('FF Deposit'!$A$2:$A$192,$B38,'FF Deposit'!AN$2:AN$192)</f>
        <v>74480.493178038771</v>
      </c>
      <c r="AG38" s="215">
        <f>SUMIF('FF Deposit'!$A$2:$A$192,$B38,'FF Deposit'!AO$2:AO$192)</f>
        <v>79517.417688432353</v>
      </c>
      <c r="AI38" s="62">
        <f t="shared" si="8"/>
        <v>1556072.4579962709</v>
      </c>
    </row>
    <row r="39" spans="1:37">
      <c r="A39" s="55">
        <f t="shared" si="7"/>
        <v>10</v>
      </c>
      <c r="B39" s="1" t="str">
        <f t="shared" si="7"/>
        <v>Restaurant</v>
      </c>
      <c r="C39" s="64"/>
      <c r="D39" s="215">
        <f>SUMIF('FF Deposit'!$A$2:$A$192,$B39,'FF Deposit'!L$2:L$192)</f>
        <v>37748.598726854827</v>
      </c>
      <c r="E39" s="215">
        <f>SUMIF('FF Deposit'!$A$2:$A$192,$B39,'FF Deposit'!M$2:M$192)</f>
        <v>37748.598726854827</v>
      </c>
      <c r="F39" s="215">
        <f>SUMIF('FF Deposit'!$A$2:$A$192,$B39,'FF Deposit'!N$2:N$192)</f>
        <v>39568.909131958673</v>
      </c>
      <c r="G39" s="215">
        <f>SUMIF('FF Deposit'!$A$2:$A$192,$B39,'FF Deposit'!O$2:O$192)</f>
        <v>41633.824559368928</v>
      </c>
      <c r="H39" s="215">
        <f>SUMIF('FF Deposit'!$A$2:$A$192,$B39,'FF Deposit'!P$2:P$192)</f>
        <v>41633.824559368928</v>
      </c>
      <c r="I39" s="215">
        <f>SUMIF('FF Deposit'!$A$2:$A$192,$B39,'FF Deposit'!Q$2:Q$192)</f>
        <v>42095.054750698415</v>
      </c>
      <c r="J39" s="215">
        <f>SUMIF('FF Deposit'!$A$2:$A$192,$B39,'FF Deposit'!R$2:R$192)</f>
        <v>42095.054750698415</v>
      </c>
      <c r="K39" s="215">
        <f>SUMIF('FF Deposit'!$A$2:$A$192,$B39,'FF Deposit'!S$2:S$192)</f>
        <v>52926.261803703492</v>
      </c>
      <c r="L39" s="215">
        <f>SUMIF('FF Deposit'!$A$2:$A$192,$B39,'FF Deposit'!T$2:T$192)</f>
        <v>55614.21497088638</v>
      </c>
      <c r="M39" s="215">
        <f>SUMIF('FF Deposit'!$A$2:$A$192,$B39,'FF Deposit'!U$2:U$192)</f>
        <v>55614.21497088638</v>
      </c>
      <c r="N39" s="215">
        <f>SUMIF('FF Deposit'!$A$2:$A$192,$B39,'FF Deposit'!V$2:V$192)</f>
        <v>56162.224768584536</v>
      </c>
      <c r="O39" s="215">
        <f>SUMIF('FF Deposit'!$A$2:$A$192,$B39,'FF Deposit'!W$2:W$192)</f>
        <v>56162.224768584536</v>
      </c>
      <c r="P39" s="215">
        <f>SUMIF('FF Deposit'!$A$2:$A$192,$B39,'FF Deposit'!X$2:X$192)</f>
        <v>58729.919135947544</v>
      </c>
      <c r="Q39" s="215">
        <f>SUMIF('FF Deposit'!$A$2:$A$192,$B39,'FF Deposit'!Y$2:Y$192)</f>
        <v>61642.63360814983</v>
      </c>
      <c r="R39" s="215">
        <f>SUMIF('FF Deposit'!$A$2:$A$192,$B39,'FF Deposit'!Z$2:Z$192)</f>
        <v>61642.63360814983</v>
      </c>
      <c r="S39" s="215">
        <f>SUMIF('FF Deposit'!$A$2:$A$192,$B39,'FF Deposit'!AA$2:AA$192)</f>
        <v>62636.276425039672</v>
      </c>
      <c r="T39" s="215">
        <f>SUMIF('FF Deposit'!$A$2:$A$192,$B39,'FF Deposit'!AB$2:AB$192)</f>
        <v>62636.276425039672</v>
      </c>
      <c r="U39" s="215">
        <f>SUMIF('FF Deposit'!$A$2:$A$192,$B39,'FF Deposit'!AC$2:AC$192)</f>
        <v>62636.276425039672</v>
      </c>
      <c r="V39" s="215">
        <f>SUMIF('FF Deposit'!$A$2:$A$192,$B39,'FF Deposit'!AD$2:AD$192)</f>
        <v>64646.07401588506</v>
      </c>
      <c r="W39" s="215">
        <f>SUMIF('FF Deposit'!$A$2:$A$192,$B39,'FF Deposit'!AE$2:AE$192)</f>
        <v>68257.436770654982</v>
      </c>
      <c r="X39" s="215">
        <f>SUMIF('FF Deposit'!$A$2:$A$192,$B39,'FF Deposit'!AF$2:AF$192)</f>
        <v>69030.481348122776</v>
      </c>
      <c r="Y39" s="215">
        <f>SUMIF('FF Deposit'!$A$2:$A$192,$B39,'FF Deposit'!AG$2:AG$192)</f>
        <v>69030.481348122776</v>
      </c>
      <c r="Z39" s="215">
        <f>SUMIF('FF Deposit'!$A$2:$A$192,$B39,'FF Deposit'!AH$2:AH$192)</f>
        <v>93328.651209278032</v>
      </c>
      <c r="AA39" s="215">
        <f>SUMIF('FF Deposit'!$A$2:$A$192,$B39,'FF Deposit'!AI$2:AI$192)</f>
        <v>100005.38395157612</v>
      </c>
      <c r="AB39" s="215">
        <f>SUMIF('FF Deposit'!$A$2:$A$192,$B39,'FF Deposit'!AJ$2:AJ$192)</f>
        <v>100005.38395157612</v>
      </c>
      <c r="AC39" s="215">
        <f>SUMIF('FF Deposit'!$A$2:$A$192,$B39,'FF Deposit'!AK$2:AK$192)</f>
        <v>100923.51674231645</v>
      </c>
      <c r="AD39" s="215">
        <f>SUMIF('FF Deposit'!$A$2:$A$192,$B39,'FF Deposit'!AL$2:AL$192)</f>
        <v>100923.51674231645</v>
      </c>
      <c r="AE39" s="215">
        <f>SUMIF('FF Deposit'!$A$2:$A$192,$B39,'FF Deposit'!AM$2:AM$192)</f>
        <v>100923.51674231645</v>
      </c>
      <c r="AF39" s="215">
        <f>SUMIF('FF Deposit'!$A$2:$A$192,$B39,'FF Deposit'!AN$2:AN$192)</f>
        <v>103758.36620337519</v>
      </c>
      <c r="AG39" s="215">
        <f>SUMIF('FF Deposit'!$A$2:$A$192,$B39,'FF Deposit'!AO$2:AO$192)</f>
        <v>103758.36620337519</v>
      </c>
      <c r="AI39" s="62">
        <f t="shared" ref="AI39:AI40" si="10">SUM(C39:AH39)</f>
        <v>2003518.1973447301</v>
      </c>
    </row>
    <row r="40" spans="1:37">
      <c r="A40" s="55">
        <f t="shared" si="7"/>
        <v>11</v>
      </c>
      <c r="B40" s="1" t="str">
        <f t="shared" si="7"/>
        <v>Golf Course</v>
      </c>
      <c r="C40" s="64"/>
      <c r="D40" s="215">
        <f>SUMIF('FF Deposit'!$A$2:$A$192,$B40,'FF Deposit'!L$2:L$192)</f>
        <v>79293.04300790088</v>
      </c>
      <c r="E40" s="215">
        <f>SUMIF('FF Deposit'!$A$2:$A$192,$B40,'FF Deposit'!M$2:M$192)</f>
        <v>79556.089544930102</v>
      </c>
      <c r="F40" s="215">
        <f>SUMIF('FF Deposit'!$A$2:$A$192,$B40,'FF Deposit'!N$2:N$192)</f>
        <v>90874.159719931617</v>
      </c>
      <c r="G40" s="215">
        <f>SUMIF('FF Deposit'!$A$2:$A$192,$B40,'FF Deposit'!O$2:O$192)</f>
        <v>99214.69494651405</v>
      </c>
      <c r="H40" s="215">
        <f>SUMIF('FF Deposit'!$A$2:$A$192,$B40,'FF Deposit'!P$2:P$192)</f>
        <v>99214.69494651405</v>
      </c>
      <c r="I40" s="215">
        <f>SUMIF('FF Deposit'!$A$2:$A$192,$B40,'FF Deposit'!Q$2:Q$192)</f>
        <v>99214.69494651405</v>
      </c>
      <c r="J40" s="215">
        <f>SUMIF('FF Deposit'!$A$2:$A$192,$B40,'FF Deposit'!R$2:R$192)</f>
        <v>100013.53969448656</v>
      </c>
      <c r="K40" s="215">
        <f>SUMIF('FF Deposit'!$A$2:$A$192,$B40,'FF Deposit'!S$2:S$192)</f>
        <v>100359.78314267762</v>
      </c>
      <c r="L40" s="215">
        <f>SUMIF('FF Deposit'!$A$2:$A$192,$B40,'FF Deposit'!T$2:T$192)</f>
        <v>100359.78314267762</v>
      </c>
      <c r="M40" s="215">
        <f>SUMIF('FF Deposit'!$A$2:$A$192,$B40,'FF Deposit'!U$2:U$192)</f>
        <v>100359.78314267762</v>
      </c>
      <c r="N40" s="215">
        <f>SUMIF('FF Deposit'!$A$2:$A$192,$B40,'FF Deposit'!V$2:V$192)</f>
        <v>100917.9998724949</v>
      </c>
      <c r="O40" s="215">
        <f>SUMIF('FF Deposit'!$A$2:$A$192,$B40,'FF Deposit'!W$2:W$192)</f>
        <v>106846.77931133198</v>
      </c>
      <c r="P40" s="215">
        <f>SUMIF('FF Deposit'!$A$2:$A$192,$B40,'FF Deposit'!X$2:X$192)</f>
        <v>106846.77931133198</v>
      </c>
      <c r="Q40" s="215">
        <f>SUMIF('FF Deposit'!$A$2:$A$192,$B40,'FF Deposit'!Y$2:Y$192)</f>
        <v>107434.34165901445</v>
      </c>
      <c r="R40" s="215">
        <f>SUMIF('FF Deposit'!$A$2:$A$192,$B40,'FF Deposit'!Z$2:Z$192)</f>
        <v>107434.34165901445</v>
      </c>
      <c r="S40" s="215">
        <f>SUMIF('FF Deposit'!$A$2:$A$192,$B40,'FF Deposit'!AA$2:AA$192)</f>
        <v>122209.16068349253</v>
      </c>
      <c r="T40" s="215">
        <f>SUMIF('FF Deposit'!$A$2:$A$192,$B40,'FF Deposit'!AB$2:AB$192)</f>
        <v>147350.72382169063</v>
      </c>
      <c r="U40" s="215">
        <f>SUMIF('FF Deposit'!$A$2:$A$192,$B40,'FF Deposit'!AC$2:AC$192)</f>
        <v>160693.72247886553</v>
      </c>
      <c r="V40" s="215">
        <f>SUMIF('FF Deposit'!$A$2:$A$192,$B40,'FF Deposit'!AD$2:AD$192)</f>
        <v>174503.70140011475</v>
      </c>
      <c r="W40" s="215">
        <f>SUMIF('FF Deposit'!$A$2:$A$192,$B40,'FF Deposit'!AE$2:AE$192)</f>
        <v>188797.00801075902</v>
      </c>
      <c r="X40" s="215">
        <f>SUMIF('FF Deposit'!$A$2:$A$192,$B40,'FF Deposit'!AF$2:AF$192)</f>
        <v>198909.65656855074</v>
      </c>
      <c r="Y40" s="215">
        <f>SUMIF('FF Deposit'!$A$2:$A$192,$B40,'FF Deposit'!AG$2:AG$192)</f>
        <v>207277.64885610886</v>
      </c>
      <c r="Z40" s="215">
        <f>SUMIF('FF Deposit'!$A$2:$A$192,$B40,'FF Deposit'!AH$2:AH$192)</f>
        <v>209456.8719253194</v>
      </c>
      <c r="AA40" s="215">
        <f>SUMIF('FF Deposit'!$A$2:$A$192,$B40,'FF Deposit'!AI$2:AI$192)</f>
        <v>211994.95828161921</v>
      </c>
      <c r="AB40" s="215">
        <f>SUMIF('FF Deposit'!$A$2:$A$192,$B40,'FF Deposit'!AJ$2:AJ$192)</f>
        <v>214010.68700781735</v>
      </c>
      <c r="AC40" s="215">
        <f>SUMIF('FF Deposit'!$A$2:$A$192,$B40,'FF Deposit'!AK$2:AK$192)</f>
        <v>215038.51576126961</v>
      </c>
      <c r="AD40" s="215">
        <f>SUMIF('FF Deposit'!$A$2:$A$192,$B40,'FF Deposit'!AL$2:AL$192)</f>
        <v>230256.86733063593</v>
      </c>
      <c r="AE40" s="215">
        <f>SUMIF('FF Deposit'!$A$2:$A$192,$B40,'FF Deposit'!AM$2:AM$192)</f>
        <v>236026.08243529682</v>
      </c>
      <c r="AF40" s="215">
        <f>SUMIF('FF Deposit'!$A$2:$A$192,$B40,'FF Deposit'!AN$2:AN$192)</f>
        <v>236026.08243529682</v>
      </c>
      <c r="AG40" s="215">
        <f>SUMIF('FF Deposit'!$A$2:$A$192,$B40,'FF Deposit'!AO$2:AO$192)</f>
        <v>236026.08243529682</v>
      </c>
      <c r="AI40" s="62">
        <f t="shared" si="10"/>
        <v>4466518.2774801459</v>
      </c>
    </row>
    <row r="41" spans="1:37">
      <c r="A41" s="55">
        <f t="shared" si="7"/>
        <v>12</v>
      </c>
      <c r="B41" s="1" t="str">
        <f t="shared" si="7"/>
        <v>Golf Equip</v>
      </c>
      <c r="C41" s="64"/>
      <c r="D41" s="215">
        <f>SUMIF('FF Deposit'!$A$2:$A$192,$B41,'FF Deposit'!L$2:L$192)</f>
        <v>96050.956913125192</v>
      </c>
      <c r="E41" s="215">
        <f>SUMIF('FF Deposit'!$A$2:$A$192,$B41,'FF Deposit'!M$2:M$192)</f>
        <v>96050.956913125192</v>
      </c>
      <c r="F41" s="215">
        <f>SUMIF('FF Deposit'!$A$2:$A$192,$B41,'FF Deposit'!N$2:N$192)</f>
        <v>98664.220777620416</v>
      </c>
      <c r="G41" s="215">
        <f>SUMIF('FF Deposit'!$A$2:$A$192,$B41,'FF Deposit'!O$2:O$192)</f>
        <v>100028.37756408963</v>
      </c>
      <c r="H41" s="215">
        <f>SUMIF('FF Deposit'!$A$2:$A$192,$B41,'FF Deposit'!P$2:P$192)</f>
        <v>114274.73177829386</v>
      </c>
      <c r="I41" s="215">
        <f>SUMIF('FF Deposit'!$A$2:$A$192,$B41,'FF Deposit'!Q$2:Q$192)</f>
        <v>114274.73177829386</v>
      </c>
      <c r="J41" s="215">
        <f>SUMIF('FF Deposit'!$A$2:$A$192,$B41,'FF Deposit'!R$2:R$192)</f>
        <v>115999.75357104413</v>
      </c>
      <c r="K41" s="215">
        <f>SUMIF('FF Deposit'!$A$2:$A$192,$B41,'FF Deposit'!S$2:S$192)</f>
        <v>117819.51095469907</v>
      </c>
      <c r="L41" s="215">
        <f>SUMIF('FF Deposit'!$A$2:$A$192,$B41,'FF Deposit'!T$2:T$192)</f>
        <v>124165.20413836386</v>
      </c>
      <c r="M41" s="215">
        <f>SUMIF('FF Deposit'!$A$2:$A$192,$B41,'FF Deposit'!U$2:U$192)</f>
        <v>124677.71002078349</v>
      </c>
      <c r="N41" s="215">
        <f>SUMIF('FF Deposit'!$A$2:$A$192,$B41,'FF Deposit'!V$2:V$192)</f>
        <v>130624.40183717516</v>
      </c>
      <c r="O41" s="215">
        <f>SUMIF('FF Deposit'!$A$2:$A$192,$B41,'FF Deposit'!W$2:W$192)</f>
        <v>134234.91605664536</v>
      </c>
      <c r="P41" s="215">
        <f>SUMIF('FF Deposit'!$A$2:$A$192,$B41,'FF Deposit'!X$2:X$192)</f>
        <v>137251.26197265511</v>
      </c>
      <c r="Q41" s="215">
        <f>SUMIF('FF Deposit'!$A$2:$A$192,$B41,'FF Deposit'!Y$2:Y$192)</f>
        <v>137572.6081925444</v>
      </c>
      <c r="R41" s="215">
        <f>SUMIF('FF Deposit'!$A$2:$A$192,$B41,'FF Deposit'!Z$2:Z$192)</f>
        <v>142299.68953748446</v>
      </c>
      <c r="S41" s="215">
        <f>SUMIF('FF Deposit'!$A$2:$A$192,$B41,'FF Deposit'!AA$2:AA$192)</f>
        <v>147125.98506265794</v>
      </c>
      <c r="T41" s="215">
        <f>SUMIF('FF Deposit'!$A$2:$A$192,$B41,'FF Deposit'!AB$2:AB$192)</f>
        <v>174010.14174776891</v>
      </c>
      <c r="U41" s="215">
        <f>SUMIF('FF Deposit'!$A$2:$A$192,$B41,'FF Deposit'!AC$2:AC$192)</f>
        <v>174861.58691175235</v>
      </c>
      <c r="V41" s="215">
        <f>SUMIF('FF Deposit'!$A$2:$A$192,$B41,'FF Deposit'!AD$2:AD$192)</f>
        <v>181648.23193729058</v>
      </c>
      <c r="W41" s="215">
        <f>SUMIF('FF Deposit'!$A$2:$A$192,$B41,'FF Deposit'!AE$2:AE$192)</f>
        <v>186719.7921999208</v>
      </c>
      <c r="X41" s="215">
        <f>SUMIF('FF Deposit'!$A$2:$A$192,$B41,'FF Deposit'!AF$2:AF$192)</f>
        <v>195955.70806163354</v>
      </c>
      <c r="Y41" s="215">
        <f>SUMIF('FF Deposit'!$A$2:$A$192,$B41,'FF Deposit'!AG$2:AG$192)</f>
        <v>195955.70806163354</v>
      </c>
      <c r="Z41" s="215">
        <f>SUMIF('FF Deposit'!$A$2:$A$192,$B41,'FF Deposit'!AH$2:AH$192)</f>
        <v>197755.16294388627</v>
      </c>
      <c r="AA41" s="215">
        <f>SUMIF('FF Deposit'!$A$2:$A$192,$B41,'FF Deposit'!AI$2:AI$192)</f>
        <v>197755.16294388627</v>
      </c>
      <c r="AB41" s="215">
        <f>SUMIF('FF Deposit'!$A$2:$A$192,$B41,'FF Deposit'!AJ$2:AJ$192)</f>
        <v>208765.09467946235</v>
      </c>
      <c r="AC41" s="215">
        <f>SUMIF('FF Deposit'!$A$2:$A$192,$B41,'FF Deposit'!AK$2:AK$192)</f>
        <v>215368.04261266097</v>
      </c>
      <c r="AD41" s="215">
        <f>SUMIF('FF Deposit'!$A$2:$A$192,$B41,'FF Deposit'!AL$2:AL$192)</f>
        <v>216844.10456026596</v>
      </c>
      <c r="AE41" s="215">
        <f>SUMIF('FF Deposit'!$A$2:$A$192,$B41,'FF Deposit'!AM$2:AM$192)</f>
        <v>220465.01453133603</v>
      </c>
      <c r="AF41" s="215">
        <f>SUMIF('FF Deposit'!$A$2:$A$192,$B41,'FF Deposit'!AN$2:AN$192)</f>
        <v>253889.86961681789</v>
      </c>
      <c r="AG41" s="215">
        <f>SUMIF('FF Deposit'!$A$2:$A$192,$B41,'FF Deposit'!AO$2:AO$192)</f>
        <v>254909.74043056398</v>
      </c>
      <c r="AI41" s="62">
        <f t="shared" si="8"/>
        <v>4806018.3783074794</v>
      </c>
    </row>
    <row r="42" spans="1:37">
      <c r="A42" s="55">
        <f t="shared" si="7"/>
        <v>13</v>
      </c>
      <c r="B42" s="1" t="str">
        <f t="shared" si="7"/>
        <v>Maintenance Bldg</v>
      </c>
      <c r="C42" s="64"/>
      <c r="D42" s="215">
        <f>SUMIF('FF Deposit'!$A$2:$A$192,$B42,'FF Deposit'!L$2:L$192)</f>
        <v>19277.188610377725</v>
      </c>
      <c r="E42" s="215">
        <f>SUMIF('FF Deposit'!$A$2:$A$192,$B42,'FF Deposit'!M$2:M$192)</f>
        <v>20714.921647669507</v>
      </c>
      <c r="F42" s="215">
        <f>SUMIF('FF Deposit'!$A$2:$A$192,$B42,'FF Deposit'!N$2:N$192)</f>
        <v>20714.921647669507</v>
      </c>
      <c r="G42" s="215">
        <f>SUMIF('FF Deposit'!$A$2:$A$192,$B42,'FF Deposit'!O$2:O$192)</f>
        <v>20714.921647669507</v>
      </c>
      <c r="H42" s="215">
        <f>SUMIF('FF Deposit'!$A$2:$A$192,$B42,'FF Deposit'!P$2:P$192)</f>
        <v>21424.441808851767</v>
      </c>
      <c r="I42" s="215">
        <f>SUMIF('FF Deposit'!$A$2:$A$192,$B42,'FF Deposit'!Q$2:Q$192)</f>
        <v>21424.441808851767</v>
      </c>
      <c r="J42" s="215">
        <f>SUMIF('FF Deposit'!$A$2:$A$192,$B42,'FF Deposit'!R$2:R$192)</f>
        <v>21424.441808851767</v>
      </c>
      <c r="K42" s="215">
        <f>SUMIF('FF Deposit'!$A$2:$A$192,$B42,'FF Deposit'!S$2:S$192)</f>
        <v>21424.441808851767</v>
      </c>
      <c r="L42" s="215">
        <f>SUMIF('FF Deposit'!$A$2:$A$192,$B42,'FF Deposit'!T$2:T$192)</f>
        <v>21424.441808851767</v>
      </c>
      <c r="M42" s="215">
        <f>SUMIF('FF Deposit'!$A$2:$A$192,$B42,'FF Deposit'!U$2:U$192)</f>
        <v>21424.441808851767</v>
      </c>
      <c r="N42" s="215">
        <f>SUMIF('FF Deposit'!$A$2:$A$192,$B42,'FF Deposit'!V$2:V$192)</f>
        <v>23897.463013581189</v>
      </c>
      <c r="O42" s="215">
        <f>SUMIF('FF Deposit'!$A$2:$A$192,$B42,'FF Deposit'!W$2:W$192)</f>
        <v>30316.686526242254</v>
      </c>
      <c r="P42" s="215">
        <f>SUMIF('FF Deposit'!$A$2:$A$192,$B42,'FF Deposit'!X$2:X$192)</f>
        <v>30316.686526242254</v>
      </c>
      <c r="Q42" s="215">
        <f>SUMIF('FF Deposit'!$A$2:$A$192,$B42,'FF Deposit'!Y$2:Y$192)</f>
        <v>31320.817560133077</v>
      </c>
      <c r="R42" s="215">
        <f>SUMIF('FF Deposit'!$A$2:$A$192,$B42,'FF Deposit'!Z$2:Z$192)</f>
        <v>32321.581024294337</v>
      </c>
      <c r="S42" s="215">
        <f>SUMIF('FF Deposit'!$A$2:$A$192,$B42,'FF Deposit'!AA$2:AA$192)</f>
        <v>32321.581024294337</v>
      </c>
      <c r="T42" s="215">
        <f>SUMIF('FF Deposit'!$A$2:$A$192,$B42,'FF Deposit'!AB$2:AB$192)</f>
        <v>33124.115043664584</v>
      </c>
      <c r="U42" s="215">
        <f>SUMIF('FF Deposit'!$A$2:$A$192,$B42,'FF Deposit'!AC$2:AC$192)</f>
        <v>33124.115043664584</v>
      </c>
      <c r="V42" s="215">
        <f>SUMIF('FF Deposit'!$A$2:$A$192,$B42,'FF Deposit'!AD$2:AD$192)</f>
        <v>33124.115043664584</v>
      </c>
      <c r="W42" s="215">
        <f>SUMIF('FF Deposit'!$A$2:$A$192,$B42,'FF Deposit'!AE$2:AE$192)</f>
        <v>38140.789874794835</v>
      </c>
      <c r="X42" s="215">
        <f>SUMIF('FF Deposit'!$A$2:$A$192,$B42,'FF Deposit'!AF$2:AF$192)</f>
        <v>38140.789874794835</v>
      </c>
      <c r="Y42" s="215">
        <f>SUMIF('FF Deposit'!$A$2:$A$192,$B42,'FF Deposit'!AG$2:AG$192)</f>
        <v>38140.789874794835</v>
      </c>
      <c r="Z42" s="215">
        <f>SUMIF('FF Deposit'!$A$2:$A$192,$B42,'FF Deposit'!AH$2:AH$192)</f>
        <v>38140.789874794835</v>
      </c>
      <c r="AA42" s="215">
        <f>SUMIF('FF Deposit'!$A$2:$A$192,$B42,'FF Deposit'!AI$2:AI$192)</f>
        <v>38140.789874794835</v>
      </c>
      <c r="AB42" s="215">
        <f>SUMIF('FF Deposit'!$A$2:$A$192,$B42,'FF Deposit'!AJ$2:AJ$192)</f>
        <v>39552.681948143829</v>
      </c>
      <c r="AC42" s="215">
        <f>SUMIF('FF Deposit'!$A$2:$A$192,$B42,'FF Deposit'!AK$2:AK$192)</f>
        <v>40495.64744874194</v>
      </c>
      <c r="AD42" s="215">
        <f>SUMIF('FF Deposit'!$A$2:$A$192,$B42,'FF Deposit'!AL$2:AL$192)</f>
        <v>40495.64744874194</v>
      </c>
      <c r="AE42" s="215">
        <f>SUMIF('FF Deposit'!$A$2:$A$192,$B42,'FF Deposit'!AM$2:AM$192)</f>
        <v>40495.64744874194</v>
      </c>
      <c r="AF42" s="215">
        <f>SUMIF('FF Deposit'!$A$2:$A$192,$B42,'FF Deposit'!AN$2:AN$192)</f>
        <v>42177.93072830345</v>
      </c>
      <c r="AG42" s="215">
        <f>SUMIF('FF Deposit'!$A$2:$A$192,$B42,'FF Deposit'!AO$2:AO$192)</f>
        <v>44165.643127018389</v>
      </c>
      <c r="AI42" s="62">
        <f t="shared" si="8"/>
        <v>927922.91273594392</v>
      </c>
    </row>
    <row r="43" spans="1:37" ht="3" customHeight="1">
      <c r="A43" s="65">
        <v>99</v>
      </c>
      <c r="B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I43" s="66"/>
    </row>
    <row r="44" spans="1:37">
      <c r="A44" s="67">
        <v>100</v>
      </c>
      <c r="B44" s="2" t="s">
        <v>149</v>
      </c>
      <c r="C44" s="2"/>
      <c r="D44" s="68">
        <f t="shared" ref="D44:AG44" si="11">SUM(D31:D43)</f>
        <v>465129.08556201652</v>
      </c>
      <c r="E44" s="68">
        <f t="shared" si="11"/>
        <v>470712.86607160443</v>
      </c>
      <c r="F44" s="68">
        <f t="shared" si="11"/>
        <v>496463.96334778226</v>
      </c>
      <c r="G44" s="68">
        <f t="shared" si="11"/>
        <v>509025.49878634978</v>
      </c>
      <c r="H44" s="68">
        <f t="shared" si="11"/>
        <v>529140.42234167049</v>
      </c>
      <c r="I44" s="68">
        <f t="shared" si="11"/>
        <v>530865.4021152301</v>
      </c>
      <c r="J44" s="68">
        <f t="shared" si="11"/>
        <v>535490.83395775431</v>
      </c>
      <c r="K44" s="68">
        <f t="shared" si="11"/>
        <v>600358.2187070658</v>
      </c>
      <c r="L44" s="68">
        <f t="shared" si="11"/>
        <v>613447.19531133212</v>
      </c>
      <c r="M44" s="68">
        <f t="shared" si="11"/>
        <v>618911.2395761282</v>
      </c>
      <c r="N44" s="68">
        <f t="shared" si="11"/>
        <v>632077.54887736833</v>
      </c>
      <c r="O44" s="68">
        <f t="shared" si="11"/>
        <v>649364.9265988525</v>
      </c>
      <c r="P44" s="68">
        <f t="shared" si="11"/>
        <v>693751.02022010437</v>
      </c>
      <c r="Q44" s="68">
        <f t="shared" si="11"/>
        <v>704343.69928131974</v>
      </c>
      <c r="R44" s="68">
        <f t="shared" si="11"/>
        <v>713078.1720311906</v>
      </c>
      <c r="S44" s="68">
        <f t="shared" si="11"/>
        <v>735771.10131228017</v>
      </c>
      <c r="T44" s="68">
        <f t="shared" si="11"/>
        <v>792533.7870869129</v>
      </c>
      <c r="U44" s="68">
        <f t="shared" si="11"/>
        <v>841240.60280724545</v>
      </c>
      <c r="V44" s="68">
        <f t="shared" si="11"/>
        <v>868003.86988066114</v>
      </c>
      <c r="W44" s="68">
        <f t="shared" si="11"/>
        <v>903067.07811459433</v>
      </c>
      <c r="X44" s="68">
        <f t="shared" si="11"/>
        <v>924726.25168554066</v>
      </c>
      <c r="Y44" s="68">
        <f t="shared" si="11"/>
        <v>934972.55758429714</v>
      </c>
      <c r="Z44" s="68">
        <f t="shared" si="11"/>
        <v>1072215.268185087</v>
      </c>
      <c r="AA44" s="68">
        <f t="shared" si="11"/>
        <v>1098416.1851136654</v>
      </c>
      <c r="AB44" s="68">
        <f t="shared" si="11"/>
        <v>1138211.8044953197</v>
      </c>
      <c r="AC44" s="68">
        <f t="shared" si="11"/>
        <v>1152394.341077015</v>
      </c>
      <c r="AD44" s="68">
        <f t="shared" si="11"/>
        <v>1170016.2258725511</v>
      </c>
      <c r="AE44" s="68">
        <f t="shared" si="11"/>
        <v>1183069.60255582</v>
      </c>
      <c r="AF44" s="68">
        <f t="shared" si="11"/>
        <v>1225591.1231881196</v>
      </c>
      <c r="AG44" s="68">
        <f t="shared" si="11"/>
        <v>1238523.1017879786</v>
      </c>
      <c r="AH44" s="2"/>
      <c r="AI44" s="68">
        <f>SUM(AI31:AI43)</f>
        <v>24040912.993532859</v>
      </c>
    </row>
    <row r="45" spans="1:37">
      <c r="B45" s="1" t="s">
        <v>173</v>
      </c>
      <c r="D45" s="60">
        <f>0</f>
        <v>0</v>
      </c>
      <c r="E45" s="60">
        <f>0</f>
        <v>0</v>
      </c>
      <c r="F45" s="60">
        <f>0</f>
        <v>0</v>
      </c>
      <c r="G45" s="60">
        <f>0</f>
        <v>0</v>
      </c>
      <c r="H45" s="60">
        <f>0</f>
        <v>0</v>
      </c>
      <c r="I45" s="60">
        <f>0</f>
        <v>0</v>
      </c>
      <c r="J45" s="60">
        <f>0</f>
        <v>0</v>
      </c>
      <c r="K45" s="60">
        <f>0</f>
        <v>0</v>
      </c>
      <c r="L45" s="60">
        <f>0</f>
        <v>0</v>
      </c>
      <c r="M45" s="60">
        <f>0</f>
        <v>0</v>
      </c>
      <c r="N45" s="60">
        <f>0</f>
        <v>0</v>
      </c>
      <c r="O45" s="60">
        <f>0</f>
        <v>0</v>
      </c>
      <c r="P45" s="60">
        <f>0</f>
        <v>0</v>
      </c>
      <c r="Q45" s="60">
        <f>0</f>
        <v>0</v>
      </c>
      <c r="R45" s="60">
        <f>0</f>
        <v>0</v>
      </c>
      <c r="S45" s="60">
        <f>0</f>
        <v>0</v>
      </c>
      <c r="T45" s="60">
        <f>0</f>
        <v>0</v>
      </c>
      <c r="U45" s="60">
        <f>0</f>
        <v>0</v>
      </c>
      <c r="V45" s="60">
        <f>0</f>
        <v>0</v>
      </c>
      <c r="W45" s="60">
        <f>0</f>
        <v>0</v>
      </c>
      <c r="X45" s="60">
        <f>0</f>
        <v>0</v>
      </c>
      <c r="Y45" s="60">
        <f>0</f>
        <v>0</v>
      </c>
      <c r="Z45" s="60">
        <f>0</f>
        <v>0</v>
      </c>
      <c r="AA45" s="60">
        <f>0</f>
        <v>0</v>
      </c>
      <c r="AB45" s="60">
        <f>0</f>
        <v>0</v>
      </c>
      <c r="AC45" s="60">
        <f>0</f>
        <v>0</v>
      </c>
      <c r="AD45" s="60">
        <f>0</f>
        <v>0</v>
      </c>
      <c r="AE45" s="60">
        <f>0</f>
        <v>0</v>
      </c>
      <c r="AF45" s="60">
        <f>0</f>
        <v>0</v>
      </c>
      <c r="AG45" s="60">
        <f>0</f>
        <v>0</v>
      </c>
      <c r="AI45" s="62">
        <f t="shared" ref="AI45:AI47" si="12">SUM(C45:AH45)</f>
        <v>0</v>
      </c>
    </row>
    <row r="46" spans="1:37" ht="16" thickBot="1">
      <c r="B46" s="1" t="s">
        <v>174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60">
        <v>0</v>
      </c>
      <c r="AG46" s="60">
        <v>0</v>
      </c>
      <c r="AI46" s="62">
        <f t="shared" si="12"/>
        <v>0</v>
      </c>
    </row>
    <row r="47" spans="1:37" ht="17" customHeight="1" thickBot="1">
      <c r="B47" s="69" t="s">
        <v>151</v>
      </c>
      <c r="C47" s="15"/>
      <c r="D47" s="70">
        <f>SUM(D44:D46)</f>
        <v>465129.08556201652</v>
      </c>
      <c r="E47" s="70">
        <f t="shared" ref="E47:AG47" si="13">SUM(E44:E46)</f>
        <v>470712.86607160443</v>
      </c>
      <c r="F47" s="70">
        <f t="shared" si="13"/>
        <v>496463.96334778226</v>
      </c>
      <c r="G47" s="70">
        <f t="shared" si="13"/>
        <v>509025.49878634978</v>
      </c>
      <c r="H47" s="70">
        <f t="shared" si="13"/>
        <v>529140.42234167049</v>
      </c>
      <c r="I47" s="70">
        <f t="shared" si="13"/>
        <v>530865.4021152301</v>
      </c>
      <c r="J47" s="70">
        <f t="shared" si="13"/>
        <v>535490.83395775431</v>
      </c>
      <c r="K47" s="70">
        <f t="shared" si="13"/>
        <v>600358.2187070658</v>
      </c>
      <c r="L47" s="70">
        <f t="shared" si="13"/>
        <v>613447.19531133212</v>
      </c>
      <c r="M47" s="70">
        <f t="shared" si="13"/>
        <v>618911.2395761282</v>
      </c>
      <c r="N47" s="70">
        <f t="shared" si="13"/>
        <v>632077.54887736833</v>
      </c>
      <c r="O47" s="70">
        <f t="shared" si="13"/>
        <v>649364.9265988525</v>
      </c>
      <c r="P47" s="70">
        <f t="shared" si="13"/>
        <v>693751.02022010437</v>
      </c>
      <c r="Q47" s="70">
        <f t="shared" si="13"/>
        <v>704343.69928131974</v>
      </c>
      <c r="R47" s="70">
        <f t="shared" si="13"/>
        <v>713078.1720311906</v>
      </c>
      <c r="S47" s="70">
        <f t="shared" si="13"/>
        <v>735771.10131228017</v>
      </c>
      <c r="T47" s="70">
        <f t="shared" si="13"/>
        <v>792533.7870869129</v>
      </c>
      <c r="U47" s="70">
        <f t="shared" si="13"/>
        <v>841240.60280724545</v>
      </c>
      <c r="V47" s="70">
        <f t="shared" si="13"/>
        <v>868003.86988066114</v>
      </c>
      <c r="W47" s="70">
        <f t="shared" si="13"/>
        <v>903067.07811459433</v>
      </c>
      <c r="X47" s="70">
        <f t="shared" si="13"/>
        <v>924726.25168554066</v>
      </c>
      <c r="Y47" s="70">
        <f t="shared" si="13"/>
        <v>934972.55758429714</v>
      </c>
      <c r="Z47" s="70">
        <f t="shared" si="13"/>
        <v>1072215.268185087</v>
      </c>
      <c r="AA47" s="70">
        <f t="shared" si="13"/>
        <v>1098416.1851136654</v>
      </c>
      <c r="AB47" s="70">
        <f t="shared" si="13"/>
        <v>1138211.8044953197</v>
      </c>
      <c r="AC47" s="70">
        <f t="shared" si="13"/>
        <v>1152394.341077015</v>
      </c>
      <c r="AD47" s="70">
        <f t="shared" si="13"/>
        <v>1170016.2258725511</v>
      </c>
      <c r="AE47" s="70">
        <f t="shared" si="13"/>
        <v>1183069.60255582</v>
      </c>
      <c r="AF47" s="70">
        <f t="shared" si="13"/>
        <v>1225591.1231881196</v>
      </c>
      <c r="AG47" s="70">
        <f t="shared" si="13"/>
        <v>1238523.1017879786</v>
      </c>
      <c r="AH47" s="15"/>
      <c r="AI47" s="70">
        <f t="shared" si="12"/>
        <v>24040912.993532855</v>
      </c>
    </row>
    <row r="48" spans="1:37">
      <c r="B48" s="2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I48" s="68"/>
    </row>
    <row r="49" spans="4:35">
      <c r="D49" s="11">
        <f t="shared" ref="D49:AG49" si="14">D30-D44</f>
        <v>0</v>
      </c>
      <c r="E49" s="11">
        <f t="shared" si="14"/>
        <v>0</v>
      </c>
      <c r="F49" s="11">
        <f t="shared" si="14"/>
        <v>0</v>
      </c>
      <c r="G49" s="11">
        <f t="shared" si="14"/>
        <v>0</v>
      </c>
      <c r="H49" s="11">
        <f t="shared" si="14"/>
        <v>0</v>
      </c>
      <c r="I49" s="11">
        <f t="shared" si="14"/>
        <v>0</v>
      </c>
      <c r="J49" s="11">
        <f t="shared" si="14"/>
        <v>0</v>
      </c>
      <c r="K49" s="11">
        <f t="shared" si="14"/>
        <v>0</v>
      </c>
      <c r="L49" s="11">
        <f t="shared" si="14"/>
        <v>0</v>
      </c>
      <c r="M49" s="11">
        <f t="shared" si="14"/>
        <v>0</v>
      </c>
      <c r="N49" s="11">
        <f t="shared" si="14"/>
        <v>0</v>
      </c>
      <c r="O49" s="11">
        <f t="shared" si="14"/>
        <v>0</v>
      </c>
      <c r="P49" s="11">
        <f t="shared" si="14"/>
        <v>0</v>
      </c>
      <c r="Q49" s="11">
        <f t="shared" si="14"/>
        <v>0</v>
      </c>
      <c r="R49" s="11">
        <f t="shared" si="14"/>
        <v>0</v>
      </c>
      <c r="S49" s="11">
        <f t="shared" si="14"/>
        <v>0</v>
      </c>
      <c r="T49" s="11">
        <f t="shared" si="14"/>
        <v>0</v>
      </c>
      <c r="U49" s="11">
        <f t="shared" si="14"/>
        <v>0</v>
      </c>
      <c r="V49" s="11">
        <f t="shared" si="14"/>
        <v>0</v>
      </c>
      <c r="W49" s="11">
        <f t="shared" si="14"/>
        <v>0</v>
      </c>
      <c r="X49" s="11">
        <f t="shared" si="14"/>
        <v>0</v>
      </c>
      <c r="Y49" s="11">
        <f t="shared" si="14"/>
        <v>0</v>
      </c>
      <c r="Z49" s="11">
        <f t="shared" si="14"/>
        <v>0</v>
      </c>
      <c r="AA49" s="11">
        <f t="shared" si="14"/>
        <v>0</v>
      </c>
      <c r="AB49" s="11">
        <f t="shared" si="14"/>
        <v>0</v>
      </c>
      <c r="AC49" s="11">
        <f t="shared" si="14"/>
        <v>0</v>
      </c>
      <c r="AD49" s="11">
        <f t="shared" si="14"/>
        <v>0</v>
      </c>
      <c r="AE49" s="11">
        <f t="shared" si="14"/>
        <v>0</v>
      </c>
      <c r="AF49" s="11">
        <f t="shared" si="14"/>
        <v>0</v>
      </c>
      <c r="AG49" s="11">
        <f t="shared" si="14"/>
        <v>0</v>
      </c>
      <c r="AI49" s="11">
        <f>AI30-AI44</f>
        <v>0</v>
      </c>
    </row>
  </sheetData>
  <sortState ref="A5:AI16">
    <sortCondition ref="A5:A16"/>
  </sortState>
  <mergeCells count="2">
    <mergeCell ref="B1:AI1"/>
    <mergeCell ref="B27:AI27"/>
  </mergeCells>
  <phoneticPr fontId="1" type="noConversion"/>
  <pageMargins left="0.75" right="0.75" top="0.75" bottom="0.75" header="0.5" footer="0.5"/>
  <pageSetup scale="80" orientation="landscape" horizontalDpi="4294967292" verticalDpi="4294967292"/>
  <headerFooter>
    <oddHeader>&amp;C&amp;"Lucida Grande,Bold"&amp;16&amp;K000000Heather Gardens Association Capital Reserve</oddHeader>
    <oddFooter>&amp;R&amp;"Lucida Grande,Regular"&amp;12&amp;K000000&amp;D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showGridLines="0" workbookViewId="0">
      <pane ySplit="3" topLeftCell="A4" activePane="bottomLeft" state="frozenSplit"/>
      <selection pane="bottomLeft" activeCell="A3" sqref="A3"/>
    </sheetView>
  </sheetViews>
  <sheetFormatPr baseColWidth="10" defaultColWidth="8.83203125" defaultRowHeight="15" x14ac:dyDescent="0"/>
  <cols>
    <col min="1" max="1" width="57" style="101" bestFit="1" customWidth="1"/>
    <col min="2" max="2" width="15.33203125" style="101" bestFit="1" customWidth="1"/>
    <col min="3" max="3" width="14" style="126" bestFit="1" customWidth="1"/>
    <col min="4" max="4" width="15.1640625" style="152" bestFit="1" customWidth="1"/>
    <col min="5" max="5" width="6.1640625" style="126" bestFit="1" customWidth="1"/>
    <col min="6" max="6" width="0.83203125" style="101" customWidth="1"/>
    <col min="7" max="7" width="43.6640625" style="101" bestFit="1" customWidth="1"/>
    <col min="8" max="16384" width="8.83203125" style="101"/>
  </cols>
  <sheetData>
    <row r="1" spans="1:7">
      <c r="A1" s="282" t="s">
        <v>127</v>
      </c>
      <c r="B1" s="282"/>
      <c r="C1" s="282"/>
      <c r="D1" s="282"/>
      <c r="E1" s="282"/>
      <c r="F1" s="282"/>
      <c r="G1" s="282"/>
    </row>
    <row r="3" spans="1:7" ht="20" customHeight="1" thickBot="1">
      <c r="A3" s="148" t="s">
        <v>78</v>
      </c>
      <c r="B3" s="148" t="s">
        <v>79</v>
      </c>
      <c r="C3" s="149" t="s">
        <v>90</v>
      </c>
      <c r="D3" s="150" t="s">
        <v>97</v>
      </c>
      <c r="E3" s="149" t="s">
        <v>73</v>
      </c>
      <c r="F3" s="151"/>
      <c r="G3" s="151" t="s">
        <v>80</v>
      </c>
    </row>
    <row r="4" spans="1:7" ht="18" customHeight="1">
      <c r="A4" s="98" t="s">
        <v>26</v>
      </c>
      <c r="B4" s="98" t="s">
        <v>108</v>
      </c>
      <c r="C4" s="157">
        <v>2019</v>
      </c>
      <c r="D4" s="100">
        <v>5842</v>
      </c>
      <c r="E4" s="99">
        <v>33</v>
      </c>
    </row>
    <row r="5" spans="1:7" ht="18" customHeight="1">
      <c r="A5" s="98" t="s">
        <v>27</v>
      </c>
      <c r="B5" s="98" t="s">
        <v>108</v>
      </c>
      <c r="C5" s="157">
        <v>2019</v>
      </c>
      <c r="D5" s="100">
        <v>8925</v>
      </c>
      <c r="E5" s="99">
        <v>26</v>
      </c>
    </row>
    <row r="6" spans="1:7" ht="18" customHeight="1">
      <c r="A6" s="98" t="s">
        <v>28</v>
      </c>
      <c r="B6" s="98" t="s">
        <v>108</v>
      </c>
      <c r="C6" s="157">
        <v>2019</v>
      </c>
      <c r="D6" s="100">
        <v>30187</v>
      </c>
      <c r="E6" s="99">
        <v>17</v>
      </c>
    </row>
    <row r="7" spans="1:7" ht="18" customHeight="1">
      <c r="A7" s="98" t="s">
        <v>46</v>
      </c>
      <c r="B7" s="98" t="s">
        <v>108</v>
      </c>
      <c r="C7" s="99">
        <v>2019</v>
      </c>
      <c r="D7" s="100">
        <v>59</v>
      </c>
      <c r="E7" s="99">
        <v>10</v>
      </c>
    </row>
    <row r="8" spans="1:7" ht="18" customHeight="1">
      <c r="A8" s="98" t="s">
        <v>302</v>
      </c>
      <c r="B8" s="98" t="s">
        <v>108</v>
      </c>
      <c r="C8" s="99">
        <v>2019</v>
      </c>
      <c r="D8" s="100">
        <v>10000</v>
      </c>
      <c r="E8" s="99">
        <v>15</v>
      </c>
      <c r="F8" s="102"/>
      <c r="G8"/>
    </row>
    <row r="9" spans="1:7" ht="18" customHeight="1">
      <c r="A9" s="98" t="s">
        <v>341</v>
      </c>
      <c r="B9" s="98" t="s">
        <v>108</v>
      </c>
      <c r="C9" s="99">
        <v>2019</v>
      </c>
      <c r="D9" s="100">
        <v>100000</v>
      </c>
      <c r="E9" s="99">
        <v>15</v>
      </c>
      <c r="G9"/>
    </row>
    <row r="10" spans="1:7" ht="18" customHeight="1">
      <c r="A10" s="103" t="s">
        <v>293</v>
      </c>
      <c r="B10" s="98" t="s">
        <v>108</v>
      </c>
      <c r="C10" s="99">
        <v>2019</v>
      </c>
      <c r="D10" s="100">
        <v>20275</v>
      </c>
      <c r="E10" s="99">
        <v>20</v>
      </c>
      <c r="F10" s="102"/>
      <c r="G10"/>
    </row>
    <row r="11" spans="1:7" ht="18" customHeight="1">
      <c r="A11" s="98" t="s">
        <v>44</v>
      </c>
      <c r="B11" s="98" t="s">
        <v>108</v>
      </c>
      <c r="C11" s="157">
        <v>2014</v>
      </c>
      <c r="D11" s="100">
        <v>4669</v>
      </c>
      <c r="E11" s="99">
        <v>25</v>
      </c>
      <c r="G11"/>
    </row>
    <row r="12" spans="1:7" ht="18" customHeight="1">
      <c r="A12" s="98" t="s">
        <v>63</v>
      </c>
      <c r="B12" s="98" t="s">
        <v>108</v>
      </c>
      <c r="C12" s="157">
        <v>2019</v>
      </c>
      <c r="D12" s="100">
        <v>8000</v>
      </c>
      <c r="E12" s="99">
        <v>15</v>
      </c>
    </row>
    <row r="13" spans="1:7" ht="18" customHeight="1">
      <c r="A13" s="98" t="s">
        <v>339</v>
      </c>
      <c r="B13" s="98" t="s">
        <v>108</v>
      </c>
      <c r="C13" s="99">
        <v>2019</v>
      </c>
      <c r="D13" s="100">
        <v>20000</v>
      </c>
      <c r="E13" s="99">
        <v>10</v>
      </c>
    </row>
    <row r="14" spans="1:7" ht="18" customHeight="1">
      <c r="A14" s="98" t="s">
        <v>106</v>
      </c>
      <c r="B14" s="98" t="s">
        <v>108</v>
      </c>
      <c r="C14" s="157">
        <v>2012</v>
      </c>
      <c r="D14" s="100">
        <v>25000</v>
      </c>
      <c r="E14" s="99">
        <v>15</v>
      </c>
    </row>
    <row r="15" spans="1:7" ht="18" customHeight="1">
      <c r="A15" s="98" t="s">
        <v>330</v>
      </c>
      <c r="B15" s="98" t="s">
        <v>108</v>
      </c>
      <c r="C15" s="157">
        <v>2012</v>
      </c>
      <c r="D15" s="100">
        <v>25000</v>
      </c>
      <c r="E15" s="99">
        <v>15</v>
      </c>
    </row>
    <row r="16" spans="1:7" ht="18" customHeight="1">
      <c r="A16" s="98" t="s">
        <v>4</v>
      </c>
      <c r="B16" s="98" t="s">
        <v>108</v>
      </c>
      <c r="C16" s="157">
        <v>2014</v>
      </c>
      <c r="D16" s="100">
        <v>6022</v>
      </c>
      <c r="E16" s="99">
        <v>20</v>
      </c>
    </row>
    <row r="17" spans="1:7" ht="18" customHeight="1">
      <c r="A17" s="98" t="s">
        <v>3</v>
      </c>
      <c r="B17" s="98" t="s">
        <v>108</v>
      </c>
      <c r="C17" s="99">
        <v>2019</v>
      </c>
      <c r="D17" s="100">
        <v>20345</v>
      </c>
      <c r="E17" s="99">
        <v>15</v>
      </c>
    </row>
    <row r="18" spans="1:7" ht="18" customHeight="1">
      <c r="A18" s="98" t="s">
        <v>365</v>
      </c>
      <c r="B18" s="104" t="s">
        <v>115</v>
      </c>
      <c r="C18" s="99">
        <v>2019</v>
      </c>
      <c r="D18" s="100">
        <v>68.36</v>
      </c>
      <c r="E18" s="99">
        <v>10</v>
      </c>
    </row>
    <row r="19" spans="1:7" ht="18" customHeight="1">
      <c r="A19" s="98" t="s">
        <v>372</v>
      </c>
      <c r="B19" s="98" t="s">
        <v>108</v>
      </c>
      <c r="C19" s="99">
        <v>2019</v>
      </c>
      <c r="D19" s="158">
        <v>5200</v>
      </c>
      <c r="E19" s="99">
        <v>13</v>
      </c>
    </row>
    <row r="20" spans="1:7" ht="18" customHeight="1">
      <c r="A20" s="103" t="s">
        <v>319</v>
      </c>
      <c r="B20" s="98" t="s">
        <v>108</v>
      </c>
      <c r="C20" s="99">
        <v>2019</v>
      </c>
      <c r="D20" s="100">
        <v>45000</v>
      </c>
      <c r="E20" s="99">
        <v>20</v>
      </c>
    </row>
    <row r="21" spans="1:7" ht="18" customHeight="1">
      <c r="A21" s="98" t="s">
        <v>14</v>
      </c>
      <c r="B21" s="98" t="s">
        <v>108</v>
      </c>
      <c r="C21" s="157">
        <v>2014</v>
      </c>
      <c r="D21" s="100">
        <v>13184</v>
      </c>
      <c r="E21" s="99">
        <v>10</v>
      </c>
    </row>
    <row r="22" spans="1:7" ht="18" customHeight="1">
      <c r="A22" s="98" t="s">
        <v>311</v>
      </c>
      <c r="B22" s="98" t="s">
        <v>108</v>
      </c>
      <c r="C22" s="157">
        <v>2014</v>
      </c>
      <c r="D22" s="147">
        <v>16765</v>
      </c>
      <c r="E22" s="146">
        <v>15</v>
      </c>
    </row>
    <row r="23" spans="1:7" ht="18" customHeight="1">
      <c r="A23" s="98" t="s">
        <v>329</v>
      </c>
      <c r="B23" s="104" t="s">
        <v>115</v>
      </c>
      <c r="C23" s="99">
        <v>2018</v>
      </c>
      <c r="D23" s="100">
        <v>65</v>
      </c>
      <c r="E23" s="99">
        <v>5</v>
      </c>
    </row>
    <row r="24" spans="1:7" ht="18" customHeight="1">
      <c r="A24" s="98" t="s">
        <v>364</v>
      </c>
      <c r="B24" s="104" t="s">
        <v>115</v>
      </c>
      <c r="C24" s="99">
        <v>2018</v>
      </c>
      <c r="D24" s="100">
        <v>65</v>
      </c>
      <c r="E24" s="99">
        <v>8</v>
      </c>
    </row>
    <row r="25" spans="1:7" ht="18" customHeight="1">
      <c r="A25" s="98" t="s">
        <v>216</v>
      </c>
      <c r="B25" s="104" t="s">
        <v>108</v>
      </c>
      <c r="C25" s="157">
        <v>2012</v>
      </c>
      <c r="D25" s="100">
        <v>5000</v>
      </c>
      <c r="E25" s="99">
        <v>10</v>
      </c>
    </row>
    <row r="26" spans="1:7" ht="18" customHeight="1">
      <c r="A26" s="105" t="s">
        <v>204</v>
      </c>
      <c r="B26" s="98" t="s">
        <v>108</v>
      </c>
      <c r="C26" s="99">
        <v>2018</v>
      </c>
      <c r="D26" s="100">
        <v>8745</v>
      </c>
      <c r="E26" s="99">
        <v>15</v>
      </c>
    </row>
    <row r="27" spans="1:7" ht="18" customHeight="1">
      <c r="A27" s="105" t="s">
        <v>227</v>
      </c>
      <c r="B27" s="98" t="s">
        <v>108</v>
      </c>
      <c r="C27" s="99">
        <v>2018</v>
      </c>
      <c r="D27" s="100">
        <v>6948</v>
      </c>
      <c r="E27" s="99">
        <v>15</v>
      </c>
    </row>
    <row r="28" spans="1:7" ht="18" customHeight="1">
      <c r="A28" s="105" t="s">
        <v>229</v>
      </c>
      <c r="B28" s="98" t="s">
        <v>108</v>
      </c>
      <c r="C28" s="99">
        <v>2018</v>
      </c>
      <c r="D28" s="100">
        <v>5787</v>
      </c>
      <c r="E28" s="99">
        <v>15</v>
      </c>
      <c r="F28" s="102"/>
      <c r="G28" s="102"/>
    </row>
    <row r="29" spans="1:7" ht="18" customHeight="1">
      <c r="A29" s="103" t="s">
        <v>321</v>
      </c>
      <c r="B29" s="98" t="s">
        <v>108</v>
      </c>
      <c r="C29" s="99">
        <v>2019</v>
      </c>
      <c r="D29" s="100">
        <v>9500</v>
      </c>
      <c r="E29" s="99">
        <v>10</v>
      </c>
    </row>
    <row r="30" spans="1:7" ht="18" customHeight="1">
      <c r="A30" s="98" t="s">
        <v>19</v>
      </c>
      <c r="B30" s="98" t="s">
        <v>108</v>
      </c>
      <c r="C30" s="157">
        <v>2014</v>
      </c>
      <c r="D30" s="100">
        <v>46680</v>
      </c>
      <c r="E30" s="99">
        <v>20</v>
      </c>
    </row>
    <row r="31" spans="1:7" ht="18" customHeight="1">
      <c r="A31" s="98" t="s">
        <v>20</v>
      </c>
      <c r="B31" s="98" t="s">
        <v>108</v>
      </c>
      <c r="C31" s="157">
        <v>2014</v>
      </c>
      <c r="D31" s="100">
        <v>11124</v>
      </c>
      <c r="E31" s="99">
        <v>20</v>
      </c>
    </row>
    <row r="32" spans="1:7" ht="18" customHeight="1">
      <c r="A32" s="98" t="s">
        <v>30</v>
      </c>
      <c r="B32" s="98" t="s">
        <v>108</v>
      </c>
      <c r="C32" s="157">
        <v>2019</v>
      </c>
      <c r="D32" s="100">
        <v>13554</v>
      </c>
      <c r="E32" s="99">
        <v>20</v>
      </c>
    </row>
    <row r="33" spans="1:7" ht="18" customHeight="1">
      <c r="A33" s="98" t="s">
        <v>55</v>
      </c>
      <c r="B33" s="98" t="s">
        <v>108</v>
      </c>
      <c r="C33" s="157">
        <v>2012</v>
      </c>
      <c r="D33" s="100">
        <v>25000</v>
      </c>
      <c r="E33" s="99">
        <v>15</v>
      </c>
    </row>
    <row r="34" spans="1:7" ht="18" customHeight="1">
      <c r="A34" s="103" t="s">
        <v>308</v>
      </c>
      <c r="B34" s="98" t="s">
        <v>116</v>
      </c>
      <c r="C34" s="157">
        <v>2013</v>
      </c>
      <c r="D34" s="100">
        <v>14243</v>
      </c>
      <c r="E34" s="99">
        <v>20</v>
      </c>
    </row>
    <row r="35" spans="1:7" ht="18" customHeight="1">
      <c r="A35" s="98" t="s">
        <v>29</v>
      </c>
      <c r="B35" s="98" t="s">
        <v>108</v>
      </c>
      <c r="C35" s="157">
        <v>2019</v>
      </c>
      <c r="D35" s="100">
        <v>11000</v>
      </c>
      <c r="E35" s="99">
        <v>24</v>
      </c>
    </row>
    <row r="36" spans="1:7" ht="18" customHeight="1">
      <c r="A36" s="98" t="s">
        <v>53</v>
      </c>
      <c r="B36" s="98" t="s">
        <v>108</v>
      </c>
      <c r="C36" s="157">
        <v>2012</v>
      </c>
      <c r="D36" s="100">
        <v>75000</v>
      </c>
      <c r="E36" s="99">
        <v>40</v>
      </c>
    </row>
    <row r="37" spans="1:7" ht="18" customHeight="1">
      <c r="A37" s="105" t="s">
        <v>187</v>
      </c>
      <c r="B37" s="98" t="s">
        <v>108</v>
      </c>
      <c r="C37" s="99">
        <v>2018</v>
      </c>
      <c r="D37" s="100">
        <v>15984</v>
      </c>
      <c r="E37" s="99">
        <v>15</v>
      </c>
    </row>
    <row r="38" spans="1:7" ht="18" customHeight="1">
      <c r="A38" s="105" t="s">
        <v>188</v>
      </c>
      <c r="B38" s="98" t="s">
        <v>108</v>
      </c>
      <c r="C38" s="99">
        <v>2018</v>
      </c>
      <c r="D38" s="100">
        <v>9821</v>
      </c>
      <c r="E38" s="99">
        <v>15</v>
      </c>
    </row>
    <row r="39" spans="1:7" ht="18" customHeight="1">
      <c r="A39" s="105" t="s">
        <v>228</v>
      </c>
      <c r="B39" s="98" t="s">
        <v>108</v>
      </c>
      <c r="C39" s="99">
        <v>2018</v>
      </c>
      <c r="D39" s="100">
        <v>7912</v>
      </c>
      <c r="E39" s="99">
        <v>15</v>
      </c>
    </row>
    <row r="40" spans="1:7" ht="18" customHeight="1">
      <c r="A40" s="98" t="s">
        <v>337</v>
      </c>
      <c r="B40" s="98" t="s">
        <v>116</v>
      </c>
      <c r="C40" s="99">
        <v>2019</v>
      </c>
      <c r="D40" s="100">
        <v>40000</v>
      </c>
      <c r="E40" s="99">
        <v>10</v>
      </c>
      <c r="F40" s="102"/>
      <c r="G40" s="102"/>
    </row>
    <row r="41" spans="1:7" ht="18" customHeight="1">
      <c r="A41" s="103" t="s">
        <v>328</v>
      </c>
      <c r="B41" s="104" t="s">
        <v>115</v>
      </c>
      <c r="C41" s="99">
        <v>2019</v>
      </c>
      <c r="D41" s="100">
        <v>65</v>
      </c>
      <c r="E41" s="99">
        <v>10</v>
      </c>
    </row>
    <row r="42" spans="1:7" ht="18" customHeight="1">
      <c r="A42" s="98" t="s">
        <v>390</v>
      </c>
      <c r="B42" s="98" t="s">
        <v>108</v>
      </c>
      <c r="C42" s="157">
        <v>2019</v>
      </c>
      <c r="D42" s="100">
        <v>14643</v>
      </c>
      <c r="E42" s="99">
        <v>30</v>
      </c>
    </row>
    <row r="43" spans="1:7" ht="18" customHeight="1">
      <c r="A43" s="98" t="s">
        <v>25</v>
      </c>
      <c r="B43" s="98" t="s">
        <v>388</v>
      </c>
      <c r="C43" s="99">
        <v>2019</v>
      </c>
      <c r="D43" s="100">
        <v>65.22</v>
      </c>
      <c r="E43" s="99">
        <v>20</v>
      </c>
    </row>
    <row r="44" spans="1:7" ht="18" customHeight="1">
      <c r="A44" s="98" t="s">
        <v>61</v>
      </c>
      <c r="B44" s="98" t="s">
        <v>388</v>
      </c>
      <c r="C44" s="99">
        <v>2019</v>
      </c>
      <c r="D44" s="100">
        <v>76.39</v>
      </c>
      <c r="E44" s="99">
        <v>20</v>
      </c>
    </row>
    <row r="45" spans="1:7" ht="18" customHeight="1">
      <c r="A45" s="98" t="s">
        <v>22</v>
      </c>
      <c r="B45" s="98" t="s">
        <v>388</v>
      </c>
      <c r="C45" s="99">
        <v>2019</v>
      </c>
      <c r="D45" s="100">
        <v>101.2</v>
      </c>
      <c r="E45" s="99">
        <v>20</v>
      </c>
    </row>
    <row r="46" spans="1:7" ht="18" customHeight="1">
      <c r="A46" s="98" t="s">
        <v>389</v>
      </c>
      <c r="B46" s="98" t="s">
        <v>388</v>
      </c>
      <c r="C46" s="99">
        <v>2019</v>
      </c>
      <c r="D46" s="100">
        <v>102.04</v>
      </c>
      <c r="E46" s="99">
        <v>20</v>
      </c>
    </row>
    <row r="47" spans="1:7" ht="18" customHeight="1">
      <c r="A47" s="98" t="s">
        <v>391</v>
      </c>
      <c r="B47" s="98" t="s">
        <v>388</v>
      </c>
      <c r="C47" s="99">
        <v>2019</v>
      </c>
      <c r="D47" s="100">
        <v>23.3</v>
      </c>
      <c r="E47" s="99">
        <v>20</v>
      </c>
    </row>
    <row r="48" spans="1:7" ht="18" customHeight="1">
      <c r="A48" s="98" t="s">
        <v>332</v>
      </c>
      <c r="B48" s="98" t="s">
        <v>108</v>
      </c>
      <c r="C48" s="99">
        <v>2019</v>
      </c>
      <c r="D48" s="100">
        <v>23000</v>
      </c>
      <c r="E48" s="99">
        <v>15</v>
      </c>
    </row>
    <row r="49" spans="1:7" ht="18" customHeight="1">
      <c r="A49" s="98" t="s">
        <v>2</v>
      </c>
      <c r="B49" s="98" t="s">
        <v>108</v>
      </c>
      <c r="C49" s="99">
        <v>2019</v>
      </c>
      <c r="D49" s="100">
        <v>16000</v>
      </c>
      <c r="E49" s="99">
        <v>15</v>
      </c>
    </row>
    <row r="50" spans="1:7" ht="18" customHeight="1">
      <c r="A50" s="98" t="s">
        <v>335</v>
      </c>
      <c r="B50" s="104" t="s">
        <v>115</v>
      </c>
      <c r="C50" s="99">
        <v>2019</v>
      </c>
      <c r="D50" s="100">
        <v>81</v>
      </c>
      <c r="E50" s="99">
        <v>10</v>
      </c>
      <c r="F50" s="102"/>
      <c r="G50" s="102"/>
    </row>
    <row r="51" spans="1:7" ht="18" customHeight="1">
      <c r="A51" s="98" t="s">
        <v>113</v>
      </c>
      <c r="B51" s="104" t="s">
        <v>115</v>
      </c>
      <c r="C51" s="157">
        <v>2014</v>
      </c>
      <c r="D51" s="100">
        <v>67.5</v>
      </c>
      <c r="E51" s="99">
        <v>10</v>
      </c>
    </row>
    <row r="52" spans="1:7" ht="18" customHeight="1">
      <c r="A52" s="98" t="s">
        <v>114</v>
      </c>
      <c r="B52" s="104" t="s">
        <v>115</v>
      </c>
      <c r="C52" s="99">
        <v>2019</v>
      </c>
      <c r="D52" s="100">
        <v>108</v>
      </c>
      <c r="E52" s="99">
        <v>10</v>
      </c>
    </row>
    <row r="53" spans="1:7" ht="18" customHeight="1">
      <c r="A53" s="105" t="s">
        <v>202</v>
      </c>
      <c r="B53" s="98" t="s">
        <v>108</v>
      </c>
      <c r="C53" s="99">
        <v>2018</v>
      </c>
      <c r="D53" s="100">
        <v>8734</v>
      </c>
      <c r="E53" s="99">
        <v>15</v>
      </c>
    </row>
    <row r="54" spans="1:7" ht="18" customHeight="1">
      <c r="A54" s="98" t="s">
        <v>109</v>
      </c>
      <c r="B54" s="98" t="s">
        <v>108</v>
      </c>
      <c r="C54" s="99">
        <v>2018</v>
      </c>
      <c r="D54" s="100">
        <v>15606</v>
      </c>
      <c r="E54" s="99">
        <v>30</v>
      </c>
    </row>
    <row r="55" spans="1:7" ht="18" customHeight="1">
      <c r="A55" s="174" t="s">
        <v>111</v>
      </c>
      <c r="B55" s="174" t="s">
        <v>108</v>
      </c>
      <c r="C55" s="173">
        <v>2016</v>
      </c>
      <c r="D55" s="153">
        <v>15000</v>
      </c>
      <c r="E55" s="173">
        <v>20</v>
      </c>
    </row>
    <row r="56" spans="1:7" ht="18" customHeight="1">
      <c r="A56" s="174" t="s">
        <v>112</v>
      </c>
      <c r="B56" s="174" t="s">
        <v>108</v>
      </c>
      <c r="C56" s="173">
        <v>2016</v>
      </c>
      <c r="D56" s="153">
        <v>5000</v>
      </c>
      <c r="E56" s="173">
        <v>20</v>
      </c>
    </row>
    <row r="57" spans="1:7" ht="18" customHeight="1">
      <c r="A57" s="174" t="s">
        <v>110</v>
      </c>
      <c r="B57" s="174" t="s">
        <v>108</v>
      </c>
      <c r="C57" s="173">
        <v>2016</v>
      </c>
      <c r="D57" s="153">
        <v>75000</v>
      </c>
      <c r="E57" s="173">
        <v>20</v>
      </c>
    </row>
    <row r="58" spans="1:7" ht="18" customHeight="1">
      <c r="A58" s="98" t="s">
        <v>59</v>
      </c>
      <c r="B58" s="98" t="s">
        <v>108</v>
      </c>
      <c r="C58" s="99">
        <v>2019</v>
      </c>
      <c r="D58" s="100">
        <v>8800</v>
      </c>
      <c r="E58" s="99">
        <v>12</v>
      </c>
    </row>
    <row r="59" spans="1:7" ht="18" customHeight="1">
      <c r="A59" s="98" t="s">
        <v>397</v>
      </c>
      <c r="B59" s="98" t="s">
        <v>108</v>
      </c>
      <c r="C59" s="99">
        <v>2019</v>
      </c>
      <c r="D59" s="100">
        <v>305</v>
      </c>
      <c r="E59" s="99">
        <v>4</v>
      </c>
    </row>
    <row r="60" spans="1:7" ht="18" customHeight="1">
      <c r="A60" s="98" t="s">
        <v>11</v>
      </c>
      <c r="B60" s="98" t="s">
        <v>108</v>
      </c>
      <c r="C60" s="157">
        <v>2019</v>
      </c>
      <c r="D60" s="100">
        <v>165776</v>
      </c>
      <c r="E60" s="99">
        <v>30</v>
      </c>
    </row>
    <row r="61" spans="1:7" ht="18" customHeight="1">
      <c r="A61" s="103" t="s">
        <v>310</v>
      </c>
      <c r="B61" s="98" t="s">
        <v>108</v>
      </c>
      <c r="C61" s="157">
        <v>2019</v>
      </c>
      <c r="D61" s="100">
        <v>9000</v>
      </c>
      <c r="E61" s="99">
        <v>20</v>
      </c>
    </row>
    <row r="62" spans="1:7" ht="18" customHeight="1">
      <c r="A62" s="103" t="s">
        <v>294</v>
      </c>
      <c r="B62" s="98" t="s">
        <v>108</v>
      </c>
      <c r="C62" s="99">
        <v>2019</v>
      </c>
      <c r="D62" s="100">
        <v>9829</v>
      </c>
      <c r="E62" s="99">
        <v>20</v>
      </c>
    </row>
    <row r="63" spans="1:7" ht="18" customHeight="1">
      <c r="A63" s="98" t="s">
        <v>374</v>
      </c>
      <c r="B63" s="98" t="s">
        <v>108</v>
      </c>
      <c r="C63" s="99">
        <v>2018</v>
      </c>
      <c r="D63" s="100">
        <v>46540</v>
      </c>
      <c r="E63" s="99">
        <v>16</v>
      </c>
    </row>
    <row r="64" spans="1:7" ht="18" customHeight="1">
      <c r="A64" s="98" t="s">
        <v>347</v>
      </c>
      <c r="B64" s="98" t="s">
        <v>108</v>
      </c>
      <c r="C64" s="99">
        <v>2019</v>
      </c>
      <c r="D64" s="100">
        <v>34748</v>
      </c>
      <c r="E64" s="99">
        <v>40</v>
      </c>
      <c r="F64" s="102"/>
      <c r="G64" s="102"/>
    </row>
    <row r="65" spans="1:5" ht="18" customHeight="1">
      <c r="A65" s="98" t="s">
        <v>0</v>
      </c>
      <c r="B65" s="98" t="s">
        <v>108</v>
      </c>
      <c r="C65" s="99">
        <v>2019</v>
      </c>
      <c r="D65" s="153">
        <v>2844</v>
      </c>
      <c r="E65" s="99">
        <v>40</v>
      </c>
    </row>
    <row r="66" spans="1:5" ht="18" customHeight="1">
      <c r="A66" s="98" t="s">
        <v>39</v>
      </c>
      <c r="B66" s="98" t="s">
        <v>108</v>
      </c>
      <c r="C66" s="99">
        <v>2018</v>
      </c>
      <c r="D66" s="106">
        <v>25295</v>
      </c>
      <c r="E66" s="99">
        <v>10</v>
      </c>
    </row>
    <row r="67" spans="1:5" ht="18" customHeight="1">
      <c r="A67" s="98" t="s">
        <v>41</v>
      </c>
      <c r="B67" s="98" t="s">
        <v>108</v>
      </c>
      <c r="C67" s="99">
        <v>2018</v>
      </c>
      <c r="D67" s="106">
        <v>25925</v>
      </c>
      <c r="E67" s="99">
        <v>10</v>
      </c>
    </row>
    <row r="68" spans="1:5" ht="18" customHeight="1">
      <c r="A68" s="105" t="s">
        <v>219</v>
      </c>
      <c r="B68" s="98" t="s">
        <v>108</v>
      </c>
      <c r="C68" s="99">
        <v>2018</v>
      </c>
      <c r="D68" s="100">
        <v>7068</v>
      </c>
      <c r="E68" s="99">
        <v>15</v>
      </c>
    </row>
    <row r="69" spans="1:5" ht="18" customHeight="1">
      <c r="A69" s="105" t="s">
        <v>220</v>
      </c>
      <c r="B69" s="98" t="s">
        <v>108</v>
      </c>
      <c r="C69" s="99">
        <v>2018</v>
      </c>
      <c r="D69" s="100">
        <v>5864</v>
      </c>
      <c r="E69" s="99">
        <v>15</v>
      </c>
    </row>
    <row r="70" spans="1:5" ht="18" customHeight="1">
      <c r="A70" s="105" t="s">
        <v>223</v>
      </c>
      <c r="B70" s="98" t="s">
        <v>108</v>
      </c>
      <c r="C70" s="99">
        <v>2018</v>
      </c>
      <c r="D70" s="100">
        <v>15445</v>
      </c>
      <c r="E70" s="99">
        <v>15</v>
      </c>
    </row>
    <row r="71" spans="1:5" ht="18" customHeight="1">
      <c r="A71" s="105" t="s">
        <v>221</v>
      </c>
      <c r="B71" s="98" t="s">
        <v>108</v>
      </c>
      <c r="C71" s="99">
        <v>2018</v>
      </c>
      <c r="D71" s="100">
        <v>5157</v>
      </c>
      <c r="E71" s="99">
        <v>15</v>
      </c>
    </row>
    <row r="72" spans="1:5" ht="18" customHeight="1">
      <c r="A72" s="105" t="s">
        <v>218</v>
      </c>
      <c r="B72" s="98" t="s">
        <v>108</v>
      </c>
      <c r="C72" s="99">
        <v>2018</v>
      </c>
      <c r="D72" s="100">
        <v>5086</v>
      </c>
      <c r="E72" s="99">
        <v>15</v>
      </c>
    </row>
    <row r="73" spans="1:5" ht="18" customHeight="1">
      <c r="A73" s="105" t="s">
        <v>367</v>
      </c>
      <c r="B73" s="98" t="s">
        <v>108</v>
      </c>
      <c r="C73" s="99">
        <v>2018</v>
      </c>
      <c r="D73" s="100">
        <v>5527</v>
      </c>
      <c r="E73" s="99">
        <v>15</v>
      </c>
    </row>
    <row r="74" spans="1:5" ht="18" customHeight="1">
      <c r="A74" s="105" t="s">
        <v>225</v>
      </c>
      <c r="B74" s="98" t="s">
        <v>108</v>
      </c>
      <c r="C74" s="99">
        <v>2018</v>
      </c>
      <c r="D74" s="100">
        <v>6587</v>
      </c>
      <c r="E74" s="99">
        <v>15</v>
      </c>
    </row>
    <row r="75" spans="1:5" ht="18" customHeight="1">
      <c r="A75" s="98" t="s">
        <v>222</v>
      </c>
      <c r="B75" s="98" t="s">
        <v>108</v>
      </c>
      <c r="C75" s="99">
        <v>2018</v>
      </c>
      <c r="D75" s="100">
        <v>5086</v>
      </c>
      <c r="E75" s="99">
        <v>15</v>
      </c>
    </row>
    <row r="76" spans="1:5" ht="18" customHeight="1">
      <c r="A76" s="105" t="s">
        <v>209</v>
      </c>
      <c r="B76" s="98" t="s">
        <v>108</v>
      </c>
      <c r="C76" s="99">
        <v>2018</v>
      </c>
      <c r="D76" s="100">
        <v>19831</v>
      </c>
      <c r="E76" s="99">
        <v>15</v>
      </c>
    </row>
    <row r="77" spans="1:5" ht="18" customHeight="1">
      <c r="A77" s="105" t="s">
        <v>405</v>
      </c>
      <c r="B77" s="98" t="s">
        <v>108</v>
      </c>
      <c r="C77" s="99">
        <v>2018</v>
      </c>
      <c r="D77" s="100">
        <v>15935</v>
      </c>
      <c r="E77" s="99">
        <v>15</v>
      </c>
    </row>
    <row r="78" spans="1:5" ht="18" customHeight="1">
      <c r="A78" s="98" t="s">
        <v>313</v>
      </c>
      <c r="B78" s="98" t="s">
        <v>116</v>
      </c>
      <c r="C78" s="160">
        <v>2017</v>
      </c>
      <c r="D78" s="100">
        <v>8271</v>
      </c>
      <c r="E78" s="99">
        <v>20</v>
      </c>
    </row>
    <row r="79" spans="1:5" ht="18" customHeight="1">
      <c r="A79" s="105" t="s">
        <v>208</v>
      </c>
      <c r="B79" s="98" t="s">
        <v>108</v>
      </c>
      <c r="C79" s="160">
        <v>2018</v>
      </c>
      <c r="D79" s="100">
        <v>6873</v>
      </c>
      <c r="E79" s="99">
        <v>15</v>
      </c>
    </row>
    <row r="80" spans="1:5" ht="18" customHeight="1">
      <c r="A80" s="98" t="s">
        <v>107</v>
      </c>
      <c r="B80" s="107" t="s">
        <v>108</v>
      </c>
      <c r="C80" s="160">
        <v>2016</v>
      </c>
      <c r="D80" s="100">
        <v>10000</v>
      </c>
      <c r="E80" s="99">
        <v>20</v>
      </c>
    </row>
    <row r="81" spans="1:7" ht="18" customHeight="1">
      <c r="A81" s="98" t="s">
        <v>16</v>
      </c>
      <c r="B81" s="98" t="s">
        <v>108</v>
      </c>
      <c r="C81" s="160">
        <v>2019</v>
      </c>
      <c r="D81" s="100">
        <v>11356</v>
      </c>
      <c r="E81" s="99">
        <v>20</v>
      </c>
    </row>
    <row r="82" spans="1:7" ht="18" customHeight="1">
      <c r="A82" s="103" t="s">
        <v>312</v>
      </c>
      <c r="B82" s="98" t="s">
        <v>108</v>
      </c>
      <c r="C82" s="160">
        <v>2019</v>
      </c>
      <c r="D82" s="100">
        <v>9374</v>
      </c>
      <c r="E82" s="99">
        <v>30</v>
      </c>
    </row>
    <row r="83" spans="1:7" ht="18" customHeight="1">
      <c r="A83" s="98" t="s">
        <v>66</v>
      </c>
      <c r="B83" s="98" t="s">
        <v>108</v>
      </c>
      <c r="C83" s="160">
        <v>2017</v>
      </c>
      <c r="D83" s="100">
        <v>6141</v>
      </c>
      <c r="E83" s="99">
        <v>10</v>
      </c>
    </row>
    <row r="84" spans="1:7" ht="18" customHeight="1">
      <c r="A84" s="98" t="s">
        <v>65</v>
      </c>
      <c r="B84" s="98" t="s">
        <v>108</v>
      </c>
      <c r="C84" s="160">
        <v>2017</v>
      </c>
      <c r="D84" s="100">
        <v>6141</v>
      </c>
      <c r="E84" s="99">
        <v>10</v>
      </c>
    </row>
    <row r="85" spans="1:7" ht="18" customHeight="1">
      <c r="A85" s="98" t="s">
        <v>67</v>
      </c>
      <c r="B85" s="98" t="s">
        <v>108</v>
      </c>
      <c r="C85" s="160">
        <v>2019</v>
      </c>
      <c r="D85" s="100">
        <v>10242</v>
      </c>
      <c r="E85" s="99">
        <v>10</v>
      </c>
    </row>
    <row r="86" spans="1:7" ht="18" customHeight="1">
      <c r="A86" s="98" t="s">
        <v>68</v>
      </c>
      <c r="B86" s="98" t="s">
        <v>108</v>
      </c>
      <c r="C86" s="160">
        <v>2019</v>
      </c>
      <c r="D86" s="100">
        <v>10242</v>
      </c>
      <c r="E86" s="99">
        <v>10</v>
      </c>
    </row>
    <row r="87" spans="1:7" ht="18" customHeight="1">
      <c r="A87" s="98" t="s">
        <v>375</v>
      </c>
      <c r="B87" s="98" t="s">
        <v>108</v>
      </c>
      <c r="C87" s="160">
        <v>2019</v>
      </c>
      <c r="D87" s="106">
        <v>48000</v>
      </c>
      <c r="E87" s="99">
        <v>10</v>
      </c>
    </row>
    <row r="88" spans="1:7" ht="18" customHeight="1">
      <c r="A88" s="98" t="s">
        <v>40</v>
      </c>
      <c r="B88" s="98" t="s">
        <v>108</v>
      </c>
      <c r="C88" s="160">
        <v>2019</v>
      </c>
      <c r="D88" s="106">
        <v>11368</v>
      </c>
      <c r="E88" s="99">
        <v>10</v>
      </c>
    </row>
    <row r="89" spans="1:7" ht="18" customHeight="1">
      <c r="A89" s="98" t="s">
        <v>361</v>
      </c>
      <c r="B89" s="98" t="s">
        <v>108</v>
      </c>
      <c r="C89" s="160">
        <v>2019</v>
      </c>
      <c r="D89" s="100">
        <v>11126</v>
      </c>
      <c r="E89" s="99">
        <v>20</v>
      </c>
      <c r="F89" s="102"/>
      <c r="G89"/>
    </row>
    <row r="90" spans="1:7" ht="18" customHeight="1">
      <c r="A90" s="98" t="s">
        <v>48</v>
      </c>
      <c r="B90" s="98" t="s">
        <v>108</v>
      </c>
      <c r="C90" s="160">
        <v>2014</v>
      </c>
      <c r="D90" s="100">
        <v>1620</v>
      </c>
      <c r="E90" s="99">
        <v>9</v>
      </c>
      <c r="G90"/>
    </row>
    <row r="91" spans="1:7" ht="18" customHeight="1">
      <c r="A91" s="98" t="s">
        <v>47</v>
      </c>
      <c r="B91" s="98" t="s">
        <v>108</v>
      </c>
      <c r="C91" s="160">
        <v>2014</v>
      </c>
      <c r="D91" s="100">
        <v>368</v>
      </c>
      <c r="E91" s="99">
        <v>9</v>
      </c>
    </row>
    <row r="92" spans="1:7" ht="18" customHeight="1">
      <c r="A92" s="103" t="s">
        <v>301</v>
      </c>
      <c r="B92" s="98" t="s">
        <v>336</v>
      </c>
      <c r="C92" s="160">
        <v>2019</v>
      </c>
      <c r="D92" s="100">
        <v>15</v>
      </c>
      <c r="E92" s="99">
        <v>15</v>
      </c>
    </row>
    <row r="93" spans="1:7" ht="18" customHeight="1">
      <c r="A93" s="98" t="s">
        <v>338</v>
      </c>
      <c r="B93" s="98" t="s">
        <v>336</v>
      </c>
      <c r="C93" s="160">
        <v>2019</v>
      </c>
      <c r="D93" s="100">
        <v>15</v>
      </c>
      <c r="E93" s="99">
        <v>15</v>
      </c>
    </row>
    <row r="94" spans="1:7" ht="18" customHeight="1">
      <c r="A94" s="98" t="s">
        <v>303</v>
      </c>
      <c r="B94" s="98" t="s">
        <v>108</v>
      </c>
      <c r="C94" s="160">
        <v>2019</v>
      </c>
      <c r="D94" s="100">
        <v>200</v>
      </c>
      <c r="E94" s="99">
        <v>15</v>
      </c>
    </row>
    <row r="95" spans="1:7" ht="18" customHeight="1">
      <c r="A95" s="98" t="s">
        <v>342</v>
      </c>
      <c r="B95" s="98" t="s">
        <v>108</v>
      </c>
      <c r="C95" s="160">
        <v>2019</v>
      </c>
      <c r="D95" s="100">
        <v>20000</v>
      </c>
      <c r="E95" s="99">
        <v>15</v>
      </c>
    </row>
    <row r="96" spans="1:7" ht="18" customHeight="1">
      <c r="A96" s="98" t="s">
        <v>34</v>
      </c>
      <c r="B96" s="98" t="s">
        <v>108</v>
      </c>
      <c r="C96" s="160">
        <v>2019</v>
      </c>
      <c r="D96" s="100">
        <v>62105</v>
      </c>
      <c r="E96" s="99">
        <v>14</v>
      </c>
    </row>
    <row r="97" spans="1:7" ht="18" customHeight="1">
      <c r="A97" s="98" t="s">
        <v>376</v>
      </c>
      <c r="B97" s="98" t="s">
        <v>108</v>
      </c>
      <c r="C97" s="160">
        <v>2018</v>
      </c>
      <c r="D97" s="100">
        <v>47980</v>
      </c>
      <c r="E97" s="99">
        <v>10</v>
      </c>
    </row>
    <row r="98" spans="1:7" ht="18" customHeight="1">
      <c r="A98" s="98" t="s">
        <v>33</v>
      </c>
      <c r="B98" s="98" t="s">
        <v>108</v>
      </c>
      <c r="C98" s="160">
        <v>2019</v>
      </c>
      <c r="D98" s="100">
        <v>48755</v>
      </c>
      <c r="E98" s="99">
        <v>10</v>
      </c>
    </row>
    <row r="99" spans="1:7" ht="18" customHeight="1">
      <c r="A99" s="98" t="s">
        <v>334</v>
      </c>
      <c r="B99" s="98" t="s">
        <v>108</v>
      </c>
      <c r="C99" s="160">
        <v>2019</v>
      </c>
      <c r="D99" s="100">
        <v>39172</v>
      </c>
      <c r="E99" s="99">
        <v>20</v>
      </c>
      <c r="G99" s="101">
        <v>3</v>
      </c>
    </row>
    <row r="100" spans="1:7" ht="18" customHeight="1">
      <c r="A100" s="105" t="s">
        <v>206</v>
      </c>
      <c r="B100" s="98" t="s">
        <v>108</v>
      </c>
      <c r="C100" s="160">
        <v>2018</v>
      </c>
      <c r="D100" s="100">
        <v>17455</v>
      </c>
      <c r="E100" s="99">
        <v>15</v>
      </c>
    </row>
    <row r="101" spans="1:7" ht="18" customHeight="1">
      <c r="A101" s="98" t="s">
        <v>50</v>
      </c>
      <c r="B101" s="107" t="s">
        <v>108</v>
      </c>
      <c r="C101" s="160">
        <v>2014</v>
      </c>
      <c r="D101" s="100">
        <v>40000</v>
      </c>
      <c r="E101" s="99">
        <v>10</v>
      </c>
      <c r="F101" s="102"/>
      <c r="G101" s="102"/>
    </row>
    <row r="102" spans="1:7" ht="18" customHeight="1">
      <c r="A102" s="98" t="s">
        <v>60</v>
      </c>
      <c r="B102" s="107" t="s">
        <v>108</v>
      </c>
      <c r="C102" s="160">
        <v>2014</v>
      </c>
      <c r="D102" s="100">
        <v>13475</v>
      </c>
      <c r="E102" s="99">
        <v>10</v>
      </c>
    </row>
    <row r="103" spans="1:7" ht="18" customHeight="1">
      <c r="A103" s="103" t="s">
        <v>320</v>
      </c>
      <c r="B103" s="98" t="s">
        <v>108</v>
      </c>
      <c r="C103" s="160">
        <v>2019</v>
      </c>
      <c r="D103" s="100">
        <v>5378</v>
      </c>
      <c r="E103" s="99">
        <v>8</v>
      </c>
    </row>
    <row r="104" spans="1:7" ht="18" customHeight="1">
      <c r="A104" s="98" t="s">
        <v>45</v>
      </c>
      <c r="B104" s="98" t="s">
        <v>108</v>
      </c>
      <c r="C104" s="160">
        <v>2019</v>
      </c>
      <c r="D104" s="100">
        <v>15000</v>
      </c>
      <c r="E104" s="99">
        <v>10</v>
      </c>
    </row>
    <row r="105" spans="1:7" ht="18" customHeight="1">
      <c r="A105" s="98" t="s">
        <v>102</v>
      </c>
      <c r="B105" s="98" t="s">
        <v>116</v>
      </c>
      <c r="C105" s="160">
        <v>2016</v>
      </c>
      <c r="D105" s="100">
        <v>210000</v>
      </c>
      <c r="E105" s="99">
        <v>30</v>
      </c>
    </row>
    <row r="106" spans="1:7" ht="18" customHeight="1">
      <c r="A106" s="98" t="s">
        <v>124</v>
      </c>
      <c r="B106" s="98" t="s">
        <v>108</v>
      </c>
      <c r="C106" s="160">
        <v>2012</v>
      </c>
      <c r="D106" s="100">
        <v>29700</v>
      </c>
      <c r="E106" s="99">
        <v>15</v>
      </c>
      <c r="G106" s="101" t="s">
        <v>125</v>
      </c>
    </row>
    <row r="107" spans="1:7" ht="18" customHeight="1">
      <c r="A107" s="98" t="s">
        <v>58</v>
      </c>
      <c r="B107" s="98" t="s">
        <v>108</v>
      </c>
      <c r="C107" s="160">
        <v>2012</v>
      </c>
      <c r="D107" s="100">
        <v>8000</v>
      </c>
      <c r="E107" s="99">
        <v>5</v>
      </c>
    </row>
    <row r="108" spans="1:7" ht="18" customHeight="1">
      <c r="A108" s="98" t="s">
        <v>21</v>
      </c>
      <c r="B108" s="98" t="s">
        <v>108</v>
      </c>
      <c r="C108" s="160">
        <v>2019</v>
      </c>
      <c r="D108" s="161">
        <v>54135</v>
      </c>
      <c r="E108" s="160">
        <v>15</v>
      </c>
    </row>
    <row r="109" spans="1:7" ht="18" customHeight="1">
      <c r="A109" s="98" t="s">
        <v>56</v>
      </c>
      <c r="B109" s="98" t="s">
        <v>108</v>
      </c>
      <c r="C109" s="160">
        <v>2012</v>
      </c>
      <c r="D109" s="100">
        <v>35000</v>
      </c>
      <c r="E109" s="99">
        <v>20</v>
      </c>
    </row>
    <row r="110" spans="1:7" ht="18" customHeight="1">
      <c r="A110" s="98" t="s">
        <v>348</v>
      </c>
      <c r="B110" s="98" t="s">
        <v>108</v>
      </c>
      <c r="C110" s="160">
        <v>2019</v>
      </c>
      <c r="D110" s="100">
        <v>5000</v>
      </c>
      <c r="E110" s="99">
        <v>10</v>
      </c>
    </row>
    <row r="111" spans="1:7" ht="18" customHeight="1">
      <c r="A111" s="98" t="s">
        <v>35</v>
      </c>
      <c r="B111" s="98" t="s">
        <v>108</v>
      </c>
      <c r="C111" s="160">
        <v>2013</v>
      </c>
      <c r="D111" s="100">
        <v>20696</v>
      </c>
      <c r="E111" s="99">
        <v>13</v>
      </c>
    </row>
    <row r="112" spans="1:7" ht="18" customHeight="1">
      <c r="A112" s="98" t="s">
        <v>212</v>
      </c>
      <c r="B112" s="98" t="s">
        <v>108</v>
      </c>
      <c r="C112" s="160">
        <v>2018</v>
      </c>
      <c r="D112" s="100">
        <v>5856</v>
      </c>
      <c r="E112" s="99">
        <v>15</v>
      </c>
    </row>
    <row r="113" spans="1:7" ht="18" customHeight="1">
      <c r="A113" s="98" t="s">
        <v>224</v>
      </c>
      <c r="B113" s="98" t="s">
        <v>108</v>
      </c>
      <c r="C113" s="160">
        <v>2018</v>
      </c>
      <c r="D113" s="100">
        <v>5755</v>
      </c>
      <c r="E113" s="108">
        <v>15</v>
      </c>
    </row>
    <row r="114" spans="1:7" ht="18" customHeight="1">
      <c r="A114" s="105" t="s">
        <v>211</v>
      </c>
      <c r="B114" s="98" t="s">
        <v>108</v>
      </c>
      <c r="C114" s="160">
        <v>2018</v>
      </c>
      <c r="D114" s="100">
        <v>5955</v>
      </c>
      <c r="E114" s="99">
        <v>15</v>
      </c>
    </row>
    <row r="115" spans="1:7" ht="18" customHeight="1">
      <c r="A115" s="98" t="s">
        <v>349</v>
      </c>
      <c r="B115" s="98" t="s">
        <v>108</v>
      </c>
      <c r="C115" s="160">
        <v>2012</v>
      </c>
      <c r="D115" s="100">
        <v>15000</v>
      </c>
      <c r="E115" s="99">
        <v>15</v>
      </c>
    </row>
    <row r="116" spans="1:7" ht="18" customHeight="1">
      <c r="A116" s="98" t="s">
        <v>350</v>
      </c>
      <c r="B116" s="98" t="s">
        <v>108</v>
      </c>
      <c r="C116" s="160">
        <v>2015</v>
      </c>
      <c r="D116" s="100">
        <v>90000</v>
      </c>
      <c r="E116" s="99">
        <v>15</v>
      </c>
      <c r="G116" s="101" t="s">
        <v>120</v>
      </c>
    </row>
    <row r="117" spans="1:7" ht="18" customHeight="1">
      <c r="A117" s="104" t="s">
        <v>351</v>
      </c>
      <c r="B117" s="106" t="s">
        <v>116</v>
      </c>
      <c r="C117" s="160">
        <v>2015</v>
      </c>
      <c r="D117" s="100">
        <v>130578</v>
      </c>
      <c r="E117" s="99">
        <v>40</v>
      </c>
    </row>
    <row r="118" spans="1:7" ht="18" customHeight="1">
      <c r="A118" s="98" t="s">
        <v>49</v>
      </c>
      <c r="B118" s="98" t="s">
        <v>116</v>
      </c>
      <c r="C118" s="160">
        <v>2014</v>
      </c>
      <c r="D118" s="100">
        <v>350</v>
      </c>
      <c r="E118" s="99">
        <v>15</v>
      </c>
    </row>
    <row r="119" spans="1:7" ht="18" customHeight="1">
      <c r="A119" s="98" t="s">
        <v>353</v>
      </c>
      <c r="B119" s="98" t="s">
        <v>108</v>
      </c>
      <c r="C119" s="160">
        <v>2012</v>
      </c>
      <c r="D119" s="100">
        <v>400</v>
      </c>
      <c r="E119" s="99">
        <v>15</v>
      </c>
    </row>
    <row r="120" spans="1:7" ht="18" customHeight="1">
      <c r="A120" s="98" t="s">
        <v>354</v>
      </c>
      <c r="B120" s="98" t="s">
        <v>108</v>
      </c>
      <c r="C120" s="160">
        <v>2012</v>
      </c>
      <c r="D120" s="100">
        <v>500</v>
      </c>
      <c r="E120" s="99">
        <v>15</v>
      </c>
    </row>
    <row r="121" spans="1:7" ht="18" customHeight="1">
      <c r="A121" s="98" t="s">
        <v>352</v>
      </c>
      <c r="B121" s="98" t="s">
        <v>108</v>
      </c>
      <c r="C121" s="160">
        <v>2012</v>
      </c>
      <c r="D121" s="100">
        <v>200</v>
      </c>
      <c r="E121" s="99">
        <v>15</v>
      </c>
    </row>
    <row r="122" spans="1:7" ht="18" customHeight="1">
      <c r="A122" s="98" t="s">
        <v>118</v>
      </c>
      <c r="B122" s="98" t="s">
        <v>108</v>
      </c>
      <c r="C122" s="160">
        <v>2014</v>
      </c>
      <c r="D122" s="100">
        <v>7410</v>
      </c>
      <c r="E122" s="99">
        <v>10</v>
      </c>
    </row>
    <row r="123" spans="1:7" ht="18" customHeight="1">
      <c r="A123" s="103" t="s">
        <v>324</v>
      </c>
      <c r="B123" s="98" t="s">
        <v>108</v>
      </c>
      <c r="C123" s="160">
        <v>2013</v>
      </c>
      <c r="D123" s="100">
        <v>19447</v>
      </c>
      <c r="E123" s="99">
        <v>15</v>
      </c>
    </row>
    <row r="124" spans="1:7" ht="18" customHeight="1">
      <c r="A124" s="103" t="s">
        <v>344</v>
      </c>
      <c r="B124" s="98" t="s">
        <v>108</v>
      </c>
      <c r="C124" s="160">
        <v>2019</v>
      </c>
      <c r="D124" s="100">
        <v>30000</v>
      </c>
      <c r="E124" s="99">
        <v>10</v>
      </c>
    </row>
    <row r="125" spans="1:7" ht="18" customHeight="1">
      <c r="A125" s="98" t="s">
        <v>123</v>
      </c>
      <c r="B125" s="98" t="s">
        <v>108</v>
      </c>
      <c r="C125" s="160">
        <v>2012</v>
      </c>
      <c r="D125" s="100">
        <v>74250</v>
      </c>
      <c r="E125" s="99">
        <v>15</v>
      </c>
      <c r="G125" s="101" t="s">
        <v>121</v>
      </c>
    </row>
    <row r="126" spans="1:7" ht="18" customHeight="1">
      <c r="A126" s="98" t="s">
        <v>122</v>
      </c>
      <c r="B126" s="98" t="s">
        <v>108</v>
      </c>
      <c r="C126" s="160">
        <v>2015</v>
      </c>
      <c r="D126" s="100">
        <v>29700</v>
      </c>
      <c r="E126" s="99">
        <v>15</v>
      </c>
      <c r="G126" s="101" t="s">
        <v>121</v>
      </c>
    </row>
    <row r="127" spans="1:7" ht="18" customHeight="1">
      <c r="A127" s="98" t="s">
        <v>346</v>
      </c>
      <c r="B127" s="104" t="s">
        <v>115</v>
      </c>
      <c r="C127" s="160">
        <v>2019</v>
      </c>
      <c r="D127" s="100">
        <v>20</v>
      </c>
      <c r="E127" s="99">
        <v>30</v>
      </c>
      <c r="G127" s="101" t="s">
        <v>126</v>
      </c>
    </row>
    <row r="128" spans="1:7" ht="18" customHeight="1">
      <c r="A128" s="98" t="s">
        <v>368</v>
      </c>
      <c r="B128" s="104" t="s">
        <v>115</v>
      </c>
      <c r="C128" s="99">
        <v>2019</v>
      </c>
      <c r="D128" s="100">
        <v>30</v>
      </c>
      <c r="E128" s="99">
        <v>30</v>
      </c>
    </row>
    <row r="129" spans="1:7" ht="18" customHeight="1">
      <c r="A129" s="109" t="s">
        <v>85</v>
      </c>
      <c r="B129" s="104" t="s">
        <v>115</v>
      </c>
      <c r="C129" s="99">
        <v>2019</v>
      </c>
      <c r="D129" s="100">
        <v>3</v>
      </c>
      <c r="E129" s="99">
        <v>6</v>
      </c>
      <c r="G129" s="101" t="s">
        <v>126</v>
      </c>
    </row>
    <row r="130" spans="1:7" ht="18" customHeight="1">
      <c r="A130" s="98" t="s">
        <v>393</v>
      </c>
      <c r="B130" s="98" t="s">
        <v>108</v>
      </c>
      <c r="C130" s="99">
        <v>2019</v>
      </c>
      <c r="D130" s="100">
        <v>100000</v>
      </c>
      <c r="E130" s="99">
        <v>25</v>
      </c>
    </row>
    <row r="131" spans="1:7" ht="18" customHeight="1">
      <c r="A131" s="98" t="s">
        <v>392</v>
      </c>
      <c r="B131" s="98" t="s">
        <v>108</v>
      </c>
      <c r="C131" s="99">
        <v>2019</v>
      </c>
      <c r="D131" s="100">
        <v>226000</v>
      </c>
      <c r="E131" s="99">
        <v>25</v>
      </c>
    </row>
    <row r="132" spans="1:7" ht="18" customHeight="1">
      <c r="A132" s="98" t="s">
        <v>394</v>
      </c>
      <c r="B132" s="98" t="s">
        <v>108</v>
      </c>
      <c r="C132" s="99">
        <v>2019</v>
      </c>
      <c r="D132" s="100">
        <v>10000</v>
      </c>
      <c r="E132" s="99">
        <v>25</v>
      </c>
    </row>
    <row r="133" spans="1:7" ht="18" customHeight="1">
      <c r="A133" s="98" t="s">
        <v>395</v>
      </c>
      <c r="B133" s="98" t="s">
        <v>108</v>
      </c>
      <c r="C133" s="99">
        <v>2019</v>
      </c>
      <c r="D133" s="100">
        <v>60000</v>
      </c>
      <c r="E133" s="99">
        <v>25</v>
      </c>
    </row>
    <row r="134" spans="1:7" s="162" customFormat="1" ht="18" customHeight="1">
      <c r="A134" s="159" t="s">
        <v>396</v>
      </c>
      <c r="B134" s="159" t="s">
        <v>108</v>
      </c>
      <c r="C134" s="160">
        <v>2019</v>
      </c>
      <c r="D134" s="161">
        <v>10000</v>
      </c>
      <c r="E134" s="160">
        <v>25</v>
      </c>
    </row>
    <row r="135" spans="1:7" ht="18" customHeight="1">
      <c r="A135" s="98" t="s">
        <v>214</v>
      </c>
      <c r="B135" s="98" t="s">
        <v>108</v>
      </c>
      <c r="C135" s="99">
        <v>2018</v>
      </c>
      <c r="D135" s="100">
        <v>9945</v>
      </c>
      <c r="E135" s="99">
        <v>15</v>
      </c>
    </row>
    <row r="136" spans="1:7" ht="18" customHeight="1">
      <c r="A136" s="105" t="s">
        <v>194</v>
      </c>
      <c r="B136" s="98" t="s">
        <v>108</v>
      </c>
      <c r="C136" s="99">
        <v>2018</v>
      </c>
      <c r="D136" s="100">
        <v>7684</v>
      </c>
      <c r="E136" s="99">
        <v>15</v>
      </c>
    </row>
    <row r="137" spans="1:7" ht="18" customHeight="1">
      <c r="A137" s="105" t="s">
        <v>192</v>
      </c>
      <c r="B137" s="98" t="s">
        <v>108</v>
      </c>
      <c r="C137" s="99">
        <v>2018</v>
      </c>
      <c r="D137" s="100">
        <v>7877</v>
      </c>
      <c r="E137" s="99">
        <v>15</v>
      </c>
    </row>
    <row r="138" spans="1:7" ht="18" customHeight="1">
      <c r="A138" s="105" t="s">
        <v>193</v>
      </c>
      <c r="B138" s="98" t="s">
        <v>108</v>
      </c>
      <c r="C138" s="99">
        <v>2018</v>
      </c>
      <c r="D138" s="100">
        <v>8654</v>
      </c>
      <c r="E138" s="99">
        <v>15</v>
      </c>
    </row>
    <row r="139" spans="1:7" ht="18" customHeight="1">
      <c r="A139" s="105" t="s">
        <v>191</v>
      </c>
      <c r="B139" s="98" t="s">
        <v>108</v>
      </c>
      <c r="C139" s="99">
        <v>2018</v>
      </c>
      <c r="D139" s="100">
        <v>12456</v>
      </c>
      <c r="E139" s="99">
        <v>15</v>
      </c>
    </row>
    <row r="140" spans="1:7" ht="18" customHeight="1">
      <c r="A140" s="105" t="s">
        <v>190</v>
      </c>
      <c r="B140" s="98" t="s">
        <v>108</v>
      </c>
      <c r="C140" s="99">
        <v>2018</v>
      </c>
      <c r="D140" s="100">
        <v>8486</v>
      </c>
      <c r="E140" s="99">
        <v>15</v>
      </c>
    </row>
    <row r="141" spans="1:7" ht="18" customHeight="1">
      <c r="A141" s="105" t="s">
        <v>195</v>
      </c>
      <c r="B141" s="98" t="s">
        <v>108</v>
      </c>
      <c r="C141" s="99">
        <v>2018</v>
      </c>
      <c r="D141" s="100">
        <v>6478</v>
      </c>
      <c r="E141" s="99">
        <v>15</v>
      </c>
    </row>
    <row r="142" spans="1:7" ht="18" customHeight="1">
      <c r="A142" s="105" t="s">
        <v>201</v>
      </c>
      <c r="B142" s="98" t="s">
        <v>108</v>
      </c>
      <c r="C142" s="99">
        <v>2018</v>
      </c>
      <c r="D142" s="100">
        <v>7877</v>
      </c>
      <c r="E142" s="99">
        <v>15</v>
      </c>
    </row>
    <row r="143" spans="1:7" ht="18" customHeight="1">
      <c r="A143" s="105" t="s">
        <v>196</v>
      </c>
      <c r="B143" s="98" t="s">
        <v>108</v>
      </c>
      <c r="C143" s="99">
        <v>2018</v>
      </c>
      <c r="D143" s="100">
        <v>12069</v>
      </c>
      <c r="E143" s="99">
        <v>15</v>
      </c>
    </row>
    <row r="144" spans="1:7" ht="18" customHeight="1">
      <c r="A144" s="105" t="s">
        <v>197</v>
      </c>
      <c r="B144" s="98" t="s">
        <v>108</v>
      </c>
      <c r="C144" s="99">
        <v>2018</v>
      </c>
      <c r="D144" s="100">
        <v>16569</v>
      </c>
      <c r="E144" s="99">
        <v>15</v>
      </c>
    </row>
    <row r="145" spans="1:5" ht="18" customHeight="1">
      <c r="A145" s="105" t="s">
        <v>198</v>
      </c>
      <c r="B145" s="98" t="s">
        <v>108</v>
      </c>
      <c r="C145" s="99">
        <v>2018</v>
      </c>
      <c r="D145" s="100">
        <v>14155</v>
      </c>
      <c r="E145" s="99">
        <v>15</v>
      </c>
    </row>
    <row r="146" spans="1:5" ht="18" customHeight="1">
      <c r="A146" s="105" t="s">
        <v>199</v>
      </c>
      <c r="B146" s="98" t="s">
        <v>108</v>
      </c>
      <c r="C146" s="99">
        <v>2018</v>
      </c>
      <c r="D146" s="100">
        <v>12656</v>
      </c>
      <c r="E146" s="99">
        <v>15</v>
      </c>
    </row>
    <row r="147" spans="1:5" ht="18" customHeight="1">
      <c r="A147" s="105" t="s">
        <v>200</v>
      </c>
      <c r="B147" s="98" t="s">
        <v>108</v>
      </c>
      <c r="C147" s="99">
        <v>2018</v>
      </c>
      <c r="D147" s="100">
        <v>5983</v>
      </c>
      <c r="E147" s="99">
        <v>15</v>
      </c>
    </row>
    <row r="148" spans="1:5" ht="18" customHeight="1">
      <c r="A148" s="103" t="s">
        <v>315</v>
      </c>
      <c r="B148" s="98" t="s">
        <v>108</v>
      </c>
      <c r="C148" s="99">
        <v>2018</v>
      </c>
      <c r="D148" s="100">
        <v>30000</v>
      </c>
      <c r="E148" s="99">
        <v>25</v>
      </c>
    </row>
    <row r="149" spans="1:5" ht="18" customHeight="1">
      <c r="A149" s="98" t="s">
        <v>355</v>
      </c>
      <c r="B149" s="98" t="s">
        <v>108</v>
      </c>
      <c r="C149" s="160">
        <v>2014</v>
      </c>
      <c r="D149" s="100">
        <v>6550</v>
      </c>
      <c r="E149" s="99">
        <v>20</v>
      </c>
    </row>
    <row r="150" spans="1:5" ht="18" customHeight="1">
      <c r="A150" s="98" t="s">
        <v>51</v>
      </c>
      <c r="B150" s="98" t="s">
        <v>116</v>
      </c>
      <c r="C150" s="160">
        <v>2017</v>
      </c>
      <c r="D150" s="100">
        <v>5454</v>
      </c>
      <c r="E150" s="99">
        <v>10</v>
      </c>
    </row>
    <row r="151" spans="1:5" ht="18" customHeight="1">
      <c r="A151" s="98" t="s">
        <v>1</v>
      </c>
      <c r="B151" s="98" t="s">
        <v>108</v>
      </c>
      <c r="C151" s="160">
        <v>2019</v>
      </c>
      <c r="D151" s="100">
        <v>30612</v>
      </c>
      <c r="E151" s="99">
        <v>30</v>
      </c>
    </row>
    <row r="152" spans="1:5" ht="18" customHeight="1">
      <c r="A152" s="98" t="s">
        <v>62</v>
      </c>
      <c r="B152" s="98" t="s">
        <v>108</v>
      </c>
      <c r="C152" s="160">
        <v>2015</v>
      </c>
      <c r="D152" s="100">
        <v>48327</v>
      </c>
      <c r="E152" s="99">
        <v>20</v>
      </c>
    </row>
    <row r="153" spans="1:5" ht="18" customHeight="1">
      <c r="A153" s="98" t="s">
        <v>54</v>
      </c>
      <c r="B153" s="98" t="s">
        <v>108</v>
      </c>
      <c r="C153" s="160">
        <v>2012</v>
      </c>
      <c r="D153" s="100">
        <v>200000</v>
      </c>
      <c r="E153" s="99">
        <v>20</v>
      </c>
    </row>
    <row r="154" spans="1:5" ht="18" customHeight="1">
      <c r="A154" s="105" t="s">
        <v>286</v>
      </c>
      <c r="B154" s="98" t="s">
        <v>108</v>
      </c>
      <c r="C154" s="160">
        <v>2018</v>
      </c>
      <c r="D154" s="100">
        <v>6000</v>
      </c>
      <c r="E154" s="99">
        <v>12</v>
      </c>
    </row>
    <row r="155" spans="1:5">
      <c r="A155" s="98" t="s">
        <v>57</v>
      </c>
      <c r="B155" s="98" t="s">
        <v>108</v>
      </c>
      <c r="C155" s="160">
        <v>2012</v>
      </c>
      <c r="D155" s="100">
        <v>5000</v>
      </c>
      <c r="E155" s="99">
        <v>5</v>
      </c>
    </row>
    <row r="156" spans="1:5">
      <c r="A156" s="98" t="s">
        <v>70</v>
      </c>
      <c r="B156" s="98" t="s">
        <v>108</v>
      </c>
      <c r="C156" s="160">
        <v>2016</v>
      </c>
      <c r="D156" s="100">
        <v>9291</v>
      </c>
      <c r="E156" s="99">
        <v>10</v>
      </c>
    </row>
    <row r="157" spans="1:5">
      <c r="A157" s="98" t="s">
        <v>71</v>
      </c>
      <c r="B157" s="98" t="s">
        <v>108</v>
      </c>
      <c r="C157" s="160">
        <v>2016</v>
      </c>
      <c r="D157" s="100">
        <v>8779</v>
      </c>
      <c r="E157" s="99">
        <v>10</v>
      </c>
    </row>
    <row r="158" spans="1:5">
      <c r="A158" s="98" t="s">
        <v>36</v>
      </c>
      <c r="B158" s="98" t="s">
        <v>108</v>
      </c>
      <c r="C158" s="160">
        <v>2015</v>
      </c>
      <c r="D158" s="100">
        <v>29859</v>
      </c>
      <c r="E158" s="99">
        <v>20</v>
      </c>
    </row>
    <row r="159" spans="1:5">
      <c r="A159" s="98" t="s">
        <v>105</v>
      </c>
      <c r="B159" s="98" t="s">
        <v>108</v>
      </c>
      <c r="C159" s="160">
        <v>2012</v>
      </c>
      <c r="D159" s="100">
        <v>15000</v>
      </c>
      <c r="E159" s="99">
        <v>10</v>
      </c>
    </row>
    <row r="160" spans="1:5">
      <c r="A160" s="98" t="s">
        <v>331</v>
      </c>
      <c r="B160" s="98" t="s">
        <v>108</v>
      </c>
      <c r="C160" s="160">
        <v>2012</v>
      </c>
      <c r="D160" s="100">
        <v>15000</v>
      </c>
      <c r="E160" s="99">
        <v>10</v>
      </c>
    </row>
    <row r="161" spans="1:5">
      <c r="A161" s="98" t="s">
        <v>72</v>
      </c>
      <c r="B161" s="98" t="s">
        <v>108</v>
      </c>
      <c r="C161" s="160">
        <v>2016</v>
      </c>
      <c r="D161" s="100">
        <v>8500</v>
      </c>
      <c r="E161" s="99">
        <v>20</v>
      </c>
    </row>
    <row r="162" spans="1:5">
      <c r="A162" s="98" t="s">
        <v>37</v>
      </c>
      <c r="B162" s="98" t="s">
        <v>108</v>
      </c>
      <c r="C162" s="160">
        <v>2015</v>
      </c>
      <c r="D162" s="100">
        <v>7494</v>
      </c>
      <c r="E162" s="99">
        <v>10</v>
      </c>
    </row>
    <row r="163" spans="1:5" s="162" customFormat="1">
      <c r="A163" s="159" t="s">
        <v>284</v>
      </c>
      <c r="B163" s="159" t="s">
        <v>108</v>
      </c>
      <c r="C163" s="160">
        <v>2019</v>
      </c>
      <c r="D163" s="161">
        <v>14000</v>
      </c>
      <c r="E163" s="160">
        <v>8</v>
      </c>
    </row>
    <row r="164" spans="1:5">
      <c r="A164" s="98" t="s">
        <v>38</v>
      </c>
      <c r="B164" s="98" t="s">
        <v>108</v>
      </c>
      <c r="C164" s="160">
        <v>2015</v>
      </c>
      <c r="D164" s="100">
        <v>38414</v>
      </c>
      <c r="E164" s="99">
        <v>30</v>
      </c>
    </row>
    <row r="165" spans="1:5">
      <c r="A165" s="98" t="s">
        <v>17</v>
      </c>
      <c r="B165" s="98" t="s">
        <v>108</v>
      </c>
      <c r="C165" s="160">
        <v>2015</v>
      </c>
      <c r="D165" s="100">
        <v>19000</v>
      </c>
      <c r="E165" s="99">
        <v>20</v>
      </c>
    </row>
    <row r="166" spans="1:5">
      <c r="A166" s="104" t="s">
        <v>18</v>
      </c>
      <c r="B166" s="106" t="s">
        <v>108</v>
      </c>
      <c r="C166" s="160">
        <v>2015</v>
      </c>
      <c r="D166" s="100">
        <v>90000</v>
      </c>
      <c r="E166" s="99">
        <v>30</v>
      </c>
    </row>
    <row r="167" spans="1:5">
      <c r="A167" s="98" t="s">
        <v>9</v>
      </c>
      <c r="B167" s="98" t="s">
        <v>108</v>
      </c>
      <c r="C167" s="160">
        <v>2014</v>
      </c>
      <c r="D167" s="100">
        <v>7725</v>
      </c>
      <c r="E167" s="99">
        <v>25</v>
      </c>
    </row>
    <row r="168" spans="1:5">
      <c r="A168" s="98" t="s">
        <v>42</v>
      </c>
      <c r="B168" s="98" t="s">
        <v>108</v>
      </c>
      <c r="C168" s="160">
        <v>2015</v>
      </c>
      <c r="D168" s="100">
        <v>9000</v>
      </c>
      <c r="E168" s="99">
        <v>12</v>
      </c>
    </row>
    <row r="169" spans="1:5">
      <c r="A169" s="98" t="s">
        <v>69</v>
      </c>
      <c r="B169" s="98" t="s">
        <v>108</v>
      </c>
      <c r="C169" s="160">
        <v>2015</v>
      </c>
      <c r="D169" s="100">
        <v>40000</v>
      </c>
      <c r="E169" s="99">
        <v>20</v>
      </c>
    </row>
    <row r="170" spans="1:5">
      <c r="A170" s="98" t="s">
        <v>43</v>
      </c>
      <c r="B170" s="98" t="s">
        <v>108</v>
      </c>
      <c r="C170" s="160">
        <v>2019</v>
      </c>
      <c r="D170" s="100">
        <v>7927</v>
      </c>
      <c r="E170" s="99">
        <v>25</v>
      </c>
    </row>
    <row r="171" spans="1:5" s="162" customFormat="1">
      <c r="A171" s="172" t="s">
        <v>406</v>
      </c>
      <c r="B171" s="159" t="s">
        <v>108</v>
      </c>
      <c r="C171" s="160">
        <v>2018</v>
      </c>
      <c r="D171" s="161">
        <v>20000</v>
      </c>
      <c r="E171" s="160">
        <v>30</v>
      </c>
    </row>
    <row r="172" spans="1:5">
      <c r="A172" s="98" t="s">
        <v>15</v>
      </c>
      <c r="B172" s="98" t="s">
        <v>108</v>
      </c>
      <c r="C172" s="160">
        <v>2015</v>
      </c>
      <c r="D172" s="100">
        <v>82670</v>
      </c>
      <c r="E172" s="99">
        <v>15</v>
      </c>
    </row>
    <row r="173" spans="1:5">
      <c r="A173" s="98" t="s">
        <v>24</v>
      </c>
      <c r="B173" s="98" t="s">
        <v>108</v>
      </c>
      <c r="C173" s="160">
        <v>2016</v>
      </c>
      <c r="D173" s="100">
        <v>90710</v>
      </c>
      <c r="E173" s="99">
        <v>20</v>
      </c>
    </row>
    <row r="174" spans="1:5">
      <c r="A174" s="98" t="s">
        <v>333</v>
      </c>
      <c r="B174" s="107" t="s">
        <v>116</v>
      </c>
      <c r="C174" s="160">
        <v>2014</v>
      </c>
      <c r="D174" s="100">
        <v>26649</v>
      </c>
      <c r="E174" s="99">
        <v>25</v>
      </c>
    </row>
    <row r="175" spans="1:5">
      <c r="A175" s="98" t="s">
        <v>10</v>
      </c>
      <c r="B175" s="107" t="s">
        <v>116</v>
      </c>
      <c r="C175" s="160">
        <v>2014</v>
      </c>
      <c r="D175" s="100">
        <v>15296</v>
      </c>
      <c r="E175" s="99">
        <v>25</v>
      </c>
    </row>
    <row r="176" spans="1:5">
      <c r="A176" s="98" t="s">
        <v>377</v>
      </c>
      <c r="B176" s="98" t="s">
        <v>371</v>
      </c>
      <c r="C176" s="160">
        <v>2019</v>
      </c>
      <c r="D176" s="100">
        <v>30</v>
      </c>
      <c r="E176" s="99">
        <v>30</v>
      </c>
    </row>
    <row r="177" spans="1:5">
      <c r="A177" s="98" t="s">
        <v>378</v>
      </c>
      <c r="B177" s="98" t="s">
        <v>371</v>
      </c>
      <c r="C177" s="160">
        <v>2019</v>
      </c>
      <c r="D177" s="100">
        <v>20</v>
      </c>
      <c r="E177" s="99">
        <v>30</v>
      </c>
    </row>
    <row r="178" spans="1:5">
      <c r="A178" s="98" t="s">
        <v>379</v>
      </c>
      <c r="B178" s="98" t="s">
        <v>371</v>
      </c>
      <c r="C178" s="160">
        <v>2019</v>
      </c>
      <c r="D178" s="100">
        <v>3</v>
      </c>
      <c r="E178" s="99">
        <v>6</v>
      </c>
    </row>
    <row r="179" spans="1:5">
      <c r="A179" s="98" t="s">
        <v>373</v>
      </c>
      <c r="B179" s="98" t="s">
        <v>108</v>
      </c>
      <c r="C179" s="160"/>
      <c r="D179" s="100"/>
      <c r="E179" s="99"/>
    </row>
  </sheetData>
  <sortState ref="A4:G175">
    <sortCondition ref="A4:A175"/>
  </sortState>
  <dataConsolidate/>
  <mergeCells count="1">
    <mergeCell ref="A1:G1"/>
  </mergeCells>
  <phoneticPr fontId="1" type="noConversion"/>
  <pageMargins left="0.7" right="0.7" top="0.75" bottom="0.75" header="0.3" footer="0.3"/>
  <pageSetup scale="75" fitToWidth="2" fitToHeight="4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9"/>
  <sheetViews>
    <sheetView showGridLines="0" showZeros="0" workbookViewId="0">
      <pane xSplit="3" ySplit="1" topLeftCell="D172" activePane="bottomRight" state="frozenSplit"/>
      <selection activeCell="B3" sqref="B3"/>
      <selection pane="topRight" activeCell="B3" sqref="B3"/>
      <selection pane="bottomLeft" activeCell="B3" sqref="B3"/>
      <selection pane="bottomRight" activeCell="M203" sqref="A1:M203"/>
    </sheetView>
  </sheetViews>
  <sheetFormatPr baseColWidth="10" defaultColWidth="9.33203125" defaultRowHeight="15" x14ac:dyDescent="0"/>
  <cols>
    <col min="1" max="1" width="6" style="115" bestFit="1" customWidth="1"/>
    <col min="2" max="2" width="17.83203125" style="115" customWidth="1"/>
    <col min="3" max="3" width="40.83203125" style="81" customWidth="1"/>
    <col min="4" max="4" width="9.6640625" style="81" bestFit="1" customWidth="1"/>
    <col min="5" max="5" width="9" style="81" customWidth="1"/>
    <col min="6" max="6" width="10.83203125" style="115" customWidth="1"/>
    <col min="7" max="7" width="12.6640625" style="81" bestFit="1" customWidth="1"/>
    <col min="8" max="8" width="11.83203125" style="115" customWidth="1"/>
    <col min="9" max="9" width="8.5" style="81" customWidth="1"/>
    <col min="10" max="10" width="7.83203125" style="81" customWidth="1"/>
    <col min="11" max="11" width="6.1640625" style="81" customWidth="1"/>
    <col min="12" max="12" width="2.33203125" style="81" bestFit="1" customWidth="1"/>
    <col min="13" max="17" width="12.6640625" style="115" bestFit="1" customWidth="1"/>
    <col min="18" max="18" width="11.1640625" style="115" bestFit="1" customWidth="1"/>
    <col min="19" max="19" width="12.6640625" style="115" bestFit="1" customWidth="1"/>
    <col min="20" max="20" width="15" style="115" bestFit="1" customWidth="1"/>
    <col min="21" max="21" width="12.6640625" style="115" bestFit="1" customWidth="1"/>
    <col min="22" max="22" width="12.6640625" style="121" bestFit="1" customWidth="1"/>
    <col min="23" max="24" width="12.6640625" style="115" bestFit="1" customWidth="1"/>
    <col min="25" max="25" width="15" style="115" bestFit="1" customWidth="1"/>
    <col min="26" max="28" width="12.6640625" style="115" bestFit="1" customWidth="1"/>
    <col min="29" max="30" width="15" style="115" bestFit="1" customWidth="1"/>
    <col min="31" max="31" width="12.6640625" style="115" bestFit="1" customWidth="1"/>
    <col min="32" max="33" width="12.6640625" style="121" bestFit="1" customWidth="1"/>
    <col min="34" max="34" width="11.1640625" style="121" bestFit="1" customWidth="1"/>
    <col min="35" max="42" width="12.83203125" style="121" customWidth="1"/>
    <col min="43" max="43" width="2.6640625" style="121" customWidth="1"/>
    <col min="44" max="44" width="13.83203125" style="115" customWidth="1"/>
    <col min="45" max="45" width="2.33203125" style="115" bestFit="1" customWidth="1"/>
    <col min="46" max="46" width="7.5" style="115" customWidth="1"/>
    <col min="47" max="47" width="5.33203125" style="115" bestFit="1" customWidth="1"/>
    <col min="48" max="48" width="10.83203125" style="115" customWidth="1"/>
    <col min="49" max="52" width="4.6640625" style="81" bestFit="1" customWidth="1"/>
    <col min="53" max="56" width="4.83203125" style="81" customWidth="1"/>
    <col min="57" max="16384" width="9.33203125" style="115"/>
  </cols>
  <sheetData>
    <row r="1" spans="1:56" ht="48" customHeight="1" thickBot="1">
      <c r="A1" s="110" t="s">
        <v>231</v>
      </c>
      <c r="B1" s="110" t="s">
        <v>145</v>
      </c>
      <c r="C1" s="111" t="s">
        <v>327</v>
      </c>
      <c r="D1" s="111" t="s">
        <v>82</v>
      </c>
      <c r="E1" s="134" t="s">
        <v>90</v>
      </c>
      <c r="F1" s="134" t="s">
        <v>83</v>
      </c>
      <c r="G1" s="111" t="str">
        <f>" "&amp;AnalysisYear-1&amp;" Project Expense"</f>
        <v xml:space="preserve"> 2019 Project Expense</v>
      </c>
      <c r="H1" s="209" t="str">
        <f>" "&amp;AnalysisYear&amp;" Cost to Replace"</f>
        <v xml:space="preserve"> 2020 Cost to Replace</v>
      </c>
      <c r="I1" s="111" t="s">
        <v>89</v>
      </c>
      <c r="J1" s="111" t="s">
        <v>101</v>
      </c>
      <c r="K1" s="134" t="s">
        <v>73</v>
      </c>
      <c r="L1" s="111"/>
      <c r="M1" s="112">
        <f>AnalysisYear</f>
        <v>2020</v>
      </c>
      <c r="N1" s="112">
        <f t="shared" ref="N1:AP1" si="0">M1+1</f>
        <v>2021</v>
      </c>
      <c r="O1" s="112">
        <f t="shared" si="0"/>
        <v>2022</v>
      </c>
      <c r="P1" s="112">
        <f t="shared" si="0"/>
        <v>2023</v>
      </c>
      <c r="Q1" s="112">
        <f t="shared" si="0"/>
        <v>2024</v>
      </c>
      <c r="R1" s="112">
        <f t="shared" si="0"/>
        <v>2025</v>
      </c>
      <c r="S1" s="112">
        <f t="shared" si="0"/>
        <v>2026</v>
      </c>
      <c r="T1" s="112">
        <f t="shared" si="0"/>
        <v>2027</v>
      </c>
      <c r="U1" s="112">
        <f t="shared" si="0"/>
        <v>2028</v>
      </c>
      <c r="V1" s="112">
        <f t="shared" si="0"/>
        <v>2029</v>
      </c>
      <c r="W1" s="112">
        <f t="shared" si="0"/>
        <v>2030</v>
      </c>
      <c r="X1" s="112">
        <f t="shared" si="0"/>
        <v>2031</v>
      </c>
      <c r="Y1" s="112">
        <f t="shared" si="0"/>
        <v>2032</v>
      </c>
      <c r="Z1" s="112">
        <f t="shared" si="0"/>
        <v>2033</v>
      </c>
      <c r="AA1" s="112">
        <f t="shared" si="0"/>
        <v>2034</v>
      </c>
      <c r="AB1" s="112">
        <f t="shared" si="0"/>
        <v>2035</v>
      </c>
      <c r="AC1" s="112">
        <f t="shared" si="0"/>
        <v>2036</v>
      </c>
      <c r="AD1" s="112">
        <f t="shared" si="0"/>
        <v>2037</v>
      </c>
      <c r="AE1" s="112">
        <f t="shared" si="0"/>
        <v>2038</v>
      </c>
      <c r="AF1" s="112">
        <f t="shared" si="0"/>
        <v>2039</v>
      </c>
      <c r="AG1" s="112">
        <f t="shared" si="0"/>
        <v>2040</v>
      </c>
      <c r="AH1" s="112">
        <f t="shared" si="0"/>
        <v>2041</v>
      </c>
      <c r="AI1" s="112">
        <f t="shared" si="0"/>
        <v>2042</v>
      </c>
      <c r="AJ1" s="112">
        <f t="shared" si="0"/>
        <v>2043</v>
      </c>
      <c r="AK1" s="112">
        <f t="shared" si="0"/>
        <v>2044</v>
      </c>
      <c r="AL1" s="112">
        <f t="shared" si="0"/>
        <v>2045</v>
      </c>
      <c r="AM1" s="112">
        <f t="shared" si="0"/>
        <v>2046</v>
      </c>
      <c r="AN1" s="112">
        <f t="shared" si="0"/>
        <v>2047</v>
      </c>
      <c r="AO1" s="112">
        <f t="shared" si="0"/>
        <v>2048</v>
      </c>
      <c r="AP1" s="112">
        <f t="shared" si="0"/>
        <v>2049</v>
      </c>
      <c r="AQ1" s="112"/>
      <c r="AR1" s="113" t="s">
        <v>100</v>
      </c>
      <c r="AS1" s="114"/>
      <c r="AT1" s="111" t="s">
        <v>154</v>
      </c>
      <c r="AU1" s="111" t="s">
        <v>155</v>
      </c>
      <c r="AV1" s="111" t="s">
        <v>156</v>
      </c>
      <c r="AW1" s="230" t="s">
        <v>249</v>
      </c>
      <c r="AX1" s="231" t="s">
        <v>245</v>
      </c>
      <c r="AY1" s="231" t="s">
        <v>250</v>
      </c>
      <c r="AZ1" s="232" t="s">
        <v>246</v>
      </c>
      <c r="BA1" s="230" t="s">
        <v>411</v>
      </c>
      <c r="BB1" s="231" t="s">
        <v>289</v>
      </c>
      <c r="BC1" s="231" t="s">
        <v>412</v>
      </c>
      <c r="BD1" s="232" t="s">
        <v>413</v>
      </c>
    </row>
    <row r="2" spans="1:56" ht="4" customHeight="1">
      <c r="A2" s="116" t="s">
        <v>370</v>
      </c>
      <c r="B2" s="116" t="s">
        <v>370</v>
      </c>
      <c r="C2" s="117" t="s">
        <v>370</v>
      </c>
      <c r="D2" s="117" t="s">
        <v>370</v>
      </c>
      <c r="E2" s="135" t="s">
        <v>370</v>
      </c>
      <c r="F2" s="202" t="s">
        <v>370</v>
      </c>
      <c r="G2" s="117" t="s">
        <v>370</v>
      </c>
      <c r="H2" s="202" t="s">
        <v>370</v>
      </c>
      <c r="I2" s="117" t="s">
        <v>370</v>
      </c>
      <c r="J2" s="117" t="s">
        <v>370</v>
      </c>
      <c r="K2" s="135" t="s">
        <v>370</v>
      </c>
      <c r="L2" s="117" t="s">
        <v>370</v>
      </c>
      <c r="M2" s="118" t="s">
        <v>370</v>
      </c>
      <c r="N2" s="118" t="s">
        <v>370</v>
      </c>
      <c r="O2" s="118" t="s">
        <v>370</v>
      </c>
      <c r="P2" s="118" t="s">
        <v>370</v>
      </c>
      <c r="Q2" s="118" t="s">
        <v>370</v>
      </c>
      <c r="R2" s="118" t="s">
        <v>370</v>
      </c>
      <c r="S2" s="118" t="s">
        <v>370</v>
      </c>
      <c r="T2" s="118" t="s">
        <v>370</v>
      </c>
      <c r="U2" s="118" t="s">
        <v>370</v>
      </c>
      <c r="V2" s="118" t="s">
        <v>370</v>
      </c>
      <c r="W2" s="118" t="s">
        <v>370</v>
      </c>
      <c r="X2" s="118" t="s">
        <v>370</v>
      </c>
      <c r="Y2" s="118" t="s">
        <v>370</v>
      </c>
      <c r="Z2" s="118" t="s">
        <v>370</v>
      </c>
      <c r="AA2" s="118" t="s">
        <v>370</v>
      </c>
      <c r="AB2" s="118" t="s">
        <v>370</v>
      </c>
      <c r="AC2" s="118" t="s">
        <v>370</v>
      </c>
      <c r="AD2" s="118" t="s">
        <v>370</v>
      </c>
      <c r="AE2" s="118" t="s">
        <v>370</v>
      </c>
      <c r="AF2" s="118" t="s">
        <v>370</v>
      </c>
      <c r="AG2" s="118" t="s">
        <v>370</v>
      </c>
      <c r="AH2" s="118" t="s">
        <v>370</v>
      </c>
      <c r="AI2" s="118" t="s">
        <v>370</v>
      </c>
      <c r="AJ2" s="118" t="s">
        <v>370</v>
      </c>
      <c r="AK2" s="118" t="s">
        <v>370</v>
      </c>
      <c r="AL2" s="118" t="s">
        <v>370</v>
      </c>
      <c r="AM2" s="118" t="s">
        <v>370</v>
      </c>
      <c r="AN2" s="118" t="s">
        <v>370</v>
      </c>
      <c r="AO2" s="118" t="s">
        <v>370</v>
      </c>
      <c r="AP2" s="118" t="s">
        <v>370</v>
      </c>
      <c r="AQ2" s="118" t="s">
        <v>370</v>
      </c>
      <c r="AR2" s="119" t="s">
        <v>370</v>
      </c>
      <c r="AS2" s="115" t="s">
        <v>370</v>
      </c>
      <c r="AT2" s="117" t="s">
        <v>370</v>
      </c>
      <c r="AU2" s="117" t="s">
        <v>370</v>
      </c>
      <c r="AV2" s="117" t="s">
        <v>370</v>
      </c>
      <c r="AW2" s="238" t="s">
        <v>370</v>
      </c>
      <c r="AX2" s="239" t="s">
        <v>370</v>
      </c>
      <c r="AY2" s="239" t="s">
        <v>370</v>
      </c>
      <c r="AZ2" s="240" t="s">
        <v>370</v>
      </c>
      <c r="BD2" s="233"/>
    </row>
    <row r="3" spans="1:56" s="163" customFormat="1" ht="16.25" customHeight="1">
      <c r="A3" s="163" t="s">
        <v>234</v>
      </c>
      <c r="B3" s="163" t="s">
        <v>296</v>
      </c>
      <c r="C3" s="164" t="s">
        <v>322</v>
      </c>
      <c r="D3" s="165">
        <v>1</v>
      </c>
      <c r="E3" s="177">
        <f>gutterclubhousecostyear</f>
        <v>2019</v>
      </c>
      <c r="F3" s="203">
        <f>D3*gutterclubunitcost</f>
        <v>34748</v>
      </c>
      <c r="G3" s="167">
        <v>0</v>
      </c>
      <c r="H3" s="206">
        <f t="shared" ref="H3:H34" si="1">IF(F3*((1+InflationRate)^(AnalysisYear-E3))&lt;MinimumProjectCost,0,F3*((1+InflationRate)^(AnalysisYear-E3)))</f>
        <v>35964.18</v>
      </c>
      <c r="I3" s="166">
        <v>2012</v>
      </c>
      <c r="J3" s="166">
        <v>0</v>
      </c>
      <c r="K3" s="177">
        <f>(pondrepairslife)</f>
        <v>30</v>
      </c>
      <c r="L3" s="169" t="s">
        <v>444</v>
      </c>
      <c r="M3" s="168">
        <f t="shared" ref="M3:V12" si="2">ROUND($H3*IF(AND(M$1&gt;=($I3+$J3),MOD(M$1-($I3+$J3),$K3)=0),(1+InflationRate)^(M$1-AnalysisYear),0),0)*IF(AND(M$1&gt;=($AT3+$AU3),(M$1-($AT3+$AU3))&lt;&gt;0,MOD(M$1-($AT3+$AU3),$AV3)=0),0,1)</f>
        <v>0</v>
      </c>
      <c r="N3" s="168">
        <f t="shared" si="2"/>
        <v>0</v>
      </c>
      <c r="O3" s="168">
        <f t="shared" si="2"/>
        <v>0</v>
      </c>
      <c r="P3" s="168">
        <f t="shared" si="2"/>
        <v>0</v>
      </c>
      <c r="Q3" s="168">
        <f t="shared" si="2"/>
        <v>0</v>
      </c>
      <c r="R3" s="168">
        <f t="shared" si="2"/>
        <v>0</v>
      </c>
      <c r="S3" s="168">
        <f t="shared" si="2"/>
        <v>0</v>
      </c>
      <c r="T3" s="168">
        <f t="shared" si="2"/>
        <v>0</v>
      </c>
      <c r="U3" s="168">
        <f t="shared" si="2"/>
        <v>0</v>
      </c>
      <c r="V3" s="168">
        <f t="shared" si="2"/>
        <v>0</v>
      </c>
      <c r="W3" s="168">
        <f t="shared" ref="W3:AF12" si="3">ROUND($H3*IF(AND(W$1&gt;=($I3+$J3),MOD(W$1-($I3+$J3),$K3)=0),(1+InflationRate)^(W$1-AnalysisYear),0),0)*IF(AND(W$1&gt;=($AT3+$AU3),(W$1-($AT3+$AU3))&lt;&gt;0,MOD(W$1-($AT3+$AU3),$AV3)=0),0,1)</f>
        <v>0</v>
      </c>
      <c r="X3" s="168">
        <f t="shared" si="3"/>
        <v>0</v>
      </c>
      <c r="Y3" s="168">
        <f t="shared" si="3"/>
        <v>0</v>
      </c>
      <c r="Z3" s="168">
        <f t="shared" si="3"/>
        <v>0</v>
      </c>
      <c r="AA3" s="168">
        <f t="shared" si="3"/>
        <v>0</v>
      </c>
      <c r="AB3" s="168">
        <f t="shared" si="3"/>
        <v>0</v>
      </c>
      <c r="AC3" s="168">
        <f t="shared" si="3"/>
        <v>0</v>
      </c>
      <c r="AD3" s="168">
        <f t="shared" si="3"/>
        <v>0</v>
      </c>
      <c r="AE3" s="168">
        <f t="shared" si="3"/>
        <v>0</v>
      </c>
      <c r="AF3" s="168">
        <f t="shared" si="3"/>
        <v>0</v>
      </c>
      <c r="AG3" s="168">
        <f t="shared" ref="AG3:AP12" si="4">ROUND($H3*IF(AND(AG$1&gt;=($I3+$J3),MOD(AG$1-($I3+$J3),$K3)=0),(1+InflationRate)^(AG$1-AnalysisYear),0),0)*IF(AND(AG$1&gt;=($AT3+$AU3),(AG$1-($AT3+$AU3))&lt;&gt;0,MOD(AG$1-($AT3+$AU3),$AV3)=0),0,1)</f>
        <v>0</v>
      </c>
      <c r="AH3" s="168">
        <f t="shared" si="4"/>
        <v>0</v>
      </c>
      <c r="AI3" s="168">
        <f t="shared" si="4"/>
        <v>76658</v>
      </c>
      <c r="AJ3" s="168">
        <f t="shared" si="4"/>
        <v>0</v>
      </c>
      <c r="AK3" s="168">
        <f t="shared" si="4"/>
        <v>0</v>
      </c>
      <c r="AL3" s="168">
        <f t="shared" si="4"/>
        <v>0</v>
      </c>
      <c r="AM3" s="168">
        <f t="shared" si="4"/>
        <v>0</v>
      </c>
      <c r="AN3" s="168">
        <f t="shared" si="4"/>
        <v>0</v>
      </c>
      <c r="AO3" s="168">
        <f t="shared" si="4"/>
        <v>0</v>
      </c>
      <c r="AP3" s="168">
        <f t="shared" si="4"/>
        <v>0</v>
      </c>
      <c r="AQ3" s="170"/>
      <c r="AR3" s="171">
        <f t="shared" ref="AR3:AR34" si="5">SUM(L3:AQ3)+0.0001</f>
        <v>76658.000100000005</v>
      </c>
      <c r="AT3" s="166">
        <f t="shared" ref="AT3:AT34" si="6">I3</f>
        <v>2012</v>
      </c>
      <c r="AU3" s="166">
        <f t="shared" ref="AU3:AU34" si="7">J3</f>
        <v>0</v>
      </c>
      <c r="AV3" s="166">
        <v>100</v>
      </c>
      <c r="AW3" s="241">
        <f t="shared" ref="AW3:AW34" si="8">IF($L3="F",1,0)</f>
        <v>0</v>
      </c>
      <c r="AX3" s="166">
        <f t="shared" ref="AX3:AX34" si="9">IF($L3="L",1,0)</f>
        <v>0</v>
      </c>
      <c r="AY3" s="166">
        <f t="shared" ref="AY3:AY34" si="10">IF($L3="T",1,0)</f>
        <v>1</v>
      </c>
      <c r="AZ3" s="242">
        <f t="shared" ref="AZ3:AZ34" si="11">IF($L3="I",1,0)</f>
        <v>0</v>
      </c>
      <c r="BA3" s="234">
        <f>IF($A3="CR",1,0)-BB3</f>
        <v>1</v>
      </c>
      <c r="BB3" s="235">
        <f>IF(AND($A3="CR",$B3="Restaurant"),1,0)</f>
        <v>0</v>
      </c>
      <c r="BC3" s="235">
        <f>IF($A3="GC",1,0)</f>
        <v>0</v>
      </c>
      <c r="BD3" s="236">
        <f>IF($A3="PC",1,0)</f>
        <v>0</v>
      </c>
    </row>
    <row r="4" spans="1:56" s="163" customFormat="1" ht="16.25" customHeight="1">
      <c r="A4" s="163" t="s">
        <v>234</v>
      </c>
      <c r="B4" s="163" t="s">
        <v>296</v>
      </c>
      <c r="C4" s="164" t="s">
        <v>50</v>
      </c>
      <c r="D4" s="165">
        <v>1</v>
      </c>
      <c r="E4" s="177">
        <f>paintclubhousecostyear</f>
        <v>2014</v>
      </c>
      <c r="F4" s="203">
        <f>D4*paintclubhouseunitcost</f>
        <v>40000</v>
      </c>
      <c r="G4" s="167">
        <v>0</v>
      </c>
      <c r="H4" s="206">
        <f t="shared" si="1"/>
        <v>49170.213053780608</v>
      </c>
      <c r="I4" s="166">
        <v>2012</v>
      </c>
      <c r="J4" s="166">
        <v>0</v>
      </c>
      <c r="K4" s="177">
        <f>paintclubhouselife</f>
        <v>10</v>
      </c>
      <c r="L4" s="169" t="s">
        <v>444</v>
      </c>
      <c r="M4" s="168">
        <f t="shared" si="2"/>
        <v>0</v>
      </c>
      <c r="N4" s="168">
        <f t="shared" si="2"/>
        <v>0</v>
      </c>
      <c r="O4" s="168">
        <f t="shared" si="2"/>
        <v>52672</v>
      </c>
      <c r="P4" s="168">
        <f t="shared" si="2"/>
        <v>0</v>
      </c>
      <c r="Q4" s="168">
        <f t="shared" si="2"/>
        <v>0</v>
      </c>
      <c r="R4" s="168">
        <f t="shared" si="2"/>
        <v>0</v>
      </c>
      <c r="S4" s="168">
        <f t="shared" si="2"/>
        <v>0</v>
      </c>
      <c r="T4" s="168">
        <f t="shared" si="2"/>
        <v>0</v>
      </c>
      <c r="U4" s="168">
        <f t="shared" si="2"/>
        <v>0</v>
      </c>
      <c r="V4" s="168">
        <f t="shared" si="2"/>
        <v>0</v>
      </c>
      <c r="W4" s="168">
        <f t="shared" si="3"/>
        <v>0</v>
      </c>
      <c r="X4" s="168">
        <f t="shared" si="3"/>
        <v>0</v>
      </c>
      <c r="Y4" s="168">
        <f t="shared" si="3"/>
        <v>74300</v>
      </c>
      <c r="Z4" s="168">
        <f t="shared" si="3"/>
        <v>0</v>
      </c>
      <c r="AA4" s="168">
        <f t="shared" si="3"/>
        <v>0</v>
      </c>
      <c r="AB4" s="168">
        <f t="shared" si="3"/>
        <v>0</v>
      </c>
      <c r="AC4" s="168">
        <f t="shared" si="3"/>
        <v>0</v>
      </c>
      <c r="AD4" s="168">
        <f t="shared" si="3"/>
        <v>0</v>
      </c>
      <c r="AE4" s="168">
        <f t="shared" si="3"/>
        <v>0</v>
      </c>
      <c r="AF4" s="168">
        <f t="shared" si="3"/>
        <v>0</v>
      </c>
      <c r="AG4" s="168">
        <f t="shared" si="4"/>
        <v>0</v>
      </c>
      <c r="AH4" s="168">
        <f t="shared" si="4"/>
        <v>0</v>
      </c>
      <c r="AI4" s="168">
        <f t="shared" si="4"/>
        <v>104807</v>
      </c>
      <c r="AJ4" s="168">
        <f t="shared" si="4"/>
        <v>0</v>
      </c>
      <c r="AK4" s="168">
        <f t="shared" si="4"/>
        <v>0</v>
      </c>
      <c r="AL4" s="168">
        <f t="shared" si="4"/>
        <v>0</v>
      </c>
      <c r="AM4" s="168">
        <f t="shared" si="4"/>
        <v>0</v>
      </c>
      <c r="AN4" s="168">
        <f t="shared" si="4"/>
        <v>0</v>
      </c>
      <c r="AO4" s="168">
        <f t="shared" si="4"/>
        <v>0</v>
      </c>
      <c r="AP4" s="168">
        <f t="shared" si="4"/>
        <v>0</v>
      </c>
      <c r="AQ4" s="170"/>
      <c r="AR4" s="171">
        <f t="shared" si="5"/>
        <v>231779.0001</v>
      </c>
      <c r="AT4" s="166">
        <f t="shared" si="6"/>
        <v>2012</v>
      </c>
      <c r="AU4" s="166">
        <f t="shared" si="7"/>
        <v>0</v>
      </c>
      <c r="AV4" s="166">
        <v>100</v>
      </c>
      <c r="AW4" s="241">
        <f t="shared" si="8"/>
        <v>0</v>
      </c>
      <c r="AX4" s="166">
        <f t="shared" si="9"/>
        <v>0</v>
      </c>
      <c r="AY4" s="166">
        <f t="shared" si="10"/>
        <v>1</v>
      </c>
      <c r="AZ4" s="242">
        <f t="shared" si="11"/>
        <v>0</v>
      </c>
      <c r="BA4" s="234">
        <f t="shared" ref="BA4:BA67" si="12">IF($A4="CR",1,0)-BB4</f>
        <v>1</v>
      </c>
      <c r="BB4" s="235">
        <f t="shared" ref="BB4:BB67" si="13">IF(AND($A4="CR",$B4="Restaurant"),1,0)</f>
        <v>0</v>
      </c>
      <c r="BC4" s="235">
        <f t="shared" ref="BC4:BC67" si="14">IF($A4="GC",1,0)</f>
        <v>0</v>
      </c>
      <c r="BD4" s="236">
        <f t="shared" ref="BD4:BD67" si="15">IF($A4="PC",1,0)</f>
        <v>0</v>
      </c>
    </row>
    <row r="5" spans="1:56" s="163" customFormat="1" ht="16.25" customHeight="1">
      <c r="A5" s="163" t="s">
        <v>234</v>
      </c>
      <c r="B5" s="163" t="s">
        <v>296</v>
      </c>
      <c r="C5" s="164" t="s">
        <v>399</v>
      </c>
      <c r="D5" s="165">
        <v>1</v>
      </c>
      <c r="E5" s="177">
        <f>(Roofclubsteelcostyear)</f>
        <v>2019</v>
      </c>
      <c r="F5" s="203">
        <f>D5*Roofclubsteelunitcost</f>
        <v>226000</v>
      </c>
      <c r="G5" s="167">
        <v>0</v>
      </c>
      <c r="H5" s="206">
        <f t="shared" si="1"/>
        <v>233909.99999999997</v>
      </c>
      <c r="I5" s="166">
        <v>2012</v>
      </c>
      <c r="J5" s="166">
        <v>0</v>
      </c>
      <c r="K5" s="177">
        <f>(Roofclubsteellife)</f>
        <v>25</v>
      </c>
      <c r="L5" s="169" t="s">
        <v>444</v>
      </c>
      <c r="M5" s="168">
        <f t="shared" si="2"/>
        <v>0</v>
      </c>
      <c r="N5" s="168">
        <f t="shared" si="2"/>
        <v>0</v>
      </c>
      <c r="O5" s="168">
        <f t="shared" si="2"/>
        <v>0</v>
      </c>
      <c r="P5" s="168">
        <f t="shared" si="2"/>
        <v>0</v>
      </c>
      <c r="Q5" s="168">
        <f t="shared" si="2"/>
        <v>0</v>
      </c>
      <c r="R5" s="168">
        <f t="shared" si="2"/>
        <v>0</v>
      </c>
      <c r="S5" s="168">
        <f t="shared" si="2"/>
        <v>0</v>
      </c>
      <c r="T5" s="168">
        <f t="shared" si="2"/>
        <v>0</v>
      </c>
      <c r="U5" s="168">
        <f t="shared" si="2"/>
        <v>0</v>
      </c>
      <c r="V5" s="168">
        <f t="shared" si="2"/>
        <v>0</v>
      </c>
      <c r="W5" s="168">
        <f t="shared" si="3"/>
        <v>0</v>
      </c>
      <c r="X5" s="168">
        <f t="shared" si="3"/>
        <v>0</v>
      </c>
      <c r="Y5" s="168">
        <f t="shared" si="3"/>
        <v>0</v>
      </c>
      <c r="Z5" s="168">
        <f t="shared" si="3"/>
        <v>0</v>
      </c>
      <c r="AA5" s="168">
        <f t="shared" si="3"/>
        <v>0</v>
      </c>
      <c r="AB5" s="168">
        <f t="shared" si="3"/>
        <v>0</v>
      </c>
      <c r="AC5" s="168">
        <f t="shared" si="3"/>
        <v>0</v>
      </c>
      <c r="AD5" s="168">
        <f t="shared" si="3"/>
        <v>419793</v>
      </c>
      <c r="AE5" s="168">
        <f t="shared" si="3"/>
        <v>0</v>
      </c>
      <c r="AF5" s="168">
        <f t="shared" si="3"/>
        <v>0</v>
      </c>
      <c r="AG5" s="168">
        <f t="shared" si="4"/>
        <v>0</v>
      </c>
      <c r="AH5" s="168">
        <f t="shared" si="4"/>
        <v>0</v>
      </c>
      <c r="AI5" s="168">
        <f t="shared" si="4"/>
        <v>0</v>
      </c>
      <c r="AJ5" s="168">
        <f t="shared" si="4"/>
        <v>0</v>
      </c>
      <c r="AK5" s="168">
        <f t="shared" si="4"/>
        <v>0</v>
      </c>
      <c r="AL5" s="168">
        <f t="shared" si="4"/>
        <v>0</v>
      </c>
      <c r="AM5" s="168">
        <f t="shared" si="4"/>
        <v>0</v>
      </c>
      <c r="AN5" s="168">
        <f t="shared" si="4"/>
        <v>0</v>
      </c>
      <c r="AO5" s="168">
        <f t="shared" si="4"/>
        <v>0</v>
      </c>
      <c r="AP5" s="168">
        <f t="shared" si="4"/>
        <v>0</v>
      </c>
      <c r="AQ5" s="170"/>
      <c r="AR5" s="171">
        <f t="shared" si="5"/>
        <v>419793.0001</v>
      </c>
      <c r="AT5" s="166">
        <f t="shared" si="6"/>
        <v>2012</v>
      </c>
      <c r="AU5" s="166">
        <f t="shared" si="7"/>
        <v>0</v>
      </c>
      <c r="AV5" s="166">
        <v>100</v>
      </c>
      <c r="AW5" s="241">
        <f t="shared" si="8"/>
        <v>0</v>
      </c>
      <c r="AX5" s="166">
        <f t="shared" si="9"/>
        <v>0</v>
      </c>
      <c r="AY5" s="166">
        <f t="shared" si="10"/>
        <v>1</v>
      </c>
      <c r="AZ5" s="242">
        <f t="shared" si="11"/>
        <v>0</v>
      </c>
      <c r="BA5" s="234">
        <f t="shared" si="12"/>
        <v>1</v>
      </c>
      <c r="BB5" s="235">
        <f t="shared" si="13"/>
        <v>0</v>
      </c>
      <c r="BC5" s="235">
        <f t="shared" si="14"/>
        <v>0</v>
      </c>
      <c r="BD5" s="236">
        <f t="shared" si="15"/>
        <v>0</v>
      </c>
    </row>
    <row r="6" spans="1:56" s="163" customFormat="1" ht="16.25" customHeight="1">
      <c r="A6" s="163" t="s">
        <v>234</v>
      </c>
      <c r="B6" s="163" t="s">
        <v>296</v>
      </c>
      <c r="C6" s="164" t="s">
        <v>398</v>
      </c>
      <c r="D6" s="165">
        <v>1</v>
      </c>
      <c r="E6" s="177">
        <f>RoofclubEPDMcostyear</f>
        <v>2019</v>
      </c>
      <c r="F6" s="203">
        <f>(D6*RoofclubEPDMunitcost)</f>
        <v>100000</v>
      </c>
      <c r="G6" s="167">
        <v>0</v>
      </c>
      <c r="H6" s="206">
        <f t="shared" si="1"/>
        <v>103499.99999999999</v>
      </c>
      <c r="I6" s="166">
        <v>2012</v>
      </c>
      <c r="J6" s="166">
        <v>0</v>
      </c>
      <c r="K6" s="177">
        <f>(RoofclubEPDMlife)</f>
        <v>25</v>
      </c>
      <c r="L6" s="169" t="s">
        <v>444</v>
      </c>
      <c r="M6" s="168">
        <f t="shared" si="2"/>
        <v>0</v>
      </c>
      <c r="N6" s="168">
        <f t="shared" si="2"/>
        <v>0</v>
      </c>
      <c r="O6" s="168">
        <f t="shared" si="2"/>
        <v>0</v>
      </c>
      <c r="P6" s="168">
        <f t="shared" si="2"/>
        <v>0</v>
      </c>
      <c r="Q6" s="168">
        <f t="shared" si="2"/>
        <v>0</v>
      </c>
      <c r="R6" s="168">
        <f t="shared" si="2"/>
        <v>0</v>
      </c>
      <c r="S6" s="168">
        <f t="shared" si="2"/>
        <v>0</v>
      </c>
      <c r="T6" s="168">
        <f t="shared" si="2"/>
        <v>0</v>
      </c>
      <c r="U6" s="168">
        <f t="shared" si="2"/>
        <v>0</v>
      </c>
      <c r="V6" s="168">
        <f t="shared" si="2"/>
        <v>0</v>
      </c>
      <c r="W6" s="168">
        <f t="shared" si="3"/>
        <v>0</v>
      </c>
      <c r="X6" s="168">
        <f t="shared" si="3"/>
        <v>0</v>
      </c>
      <c r="Y6" s="168">
        <f t="shared" si="3"/>
        <v>0</v>
      </c>
      <c r="Z6" s="168">
        <f t="shared" si="3"/>
        <v>0</v>
      </c>
      <c r="AA6" s="168">
        <f t="shared" si="3"/>
        <v>0</v>
      </c>
      <c r="AB6" s="168">
        <f t="shared" si="3"/>
        <v>0</v>
      </c>
      <c r="AC6" s="168">
        <f t="shared" si="3"/>
        <v>0</v>
      </c>
      <c r="AD6" s="168">
        <f t="shared" si="3"/>
        <v>185749</v>
      </c>
      <c r="AE6" s="168">
        <f t="shared" si="3"/>
        <v>0</v>
      </c>
      <c r="AF6" s="168">
        <f t="shared" si="3"/>
        <v>0</v>
      </c>
      <c r="AG6" s="168">
        <f t="shared" si="4"/>
        <v>0</v>
      </c>
      <c r="AH6" s="168">
        <f t="shared" si="4"/>
        <v>0</v>
      </c>
      <c r="AI6" s="168">
        <f t="shared" si="4"/>
        <v>0</v>
      </c>
      <c r="AJ6" s="168">
        <f t="shared" si="4"/>
        <v>0</v>
      </c>
      <c r="AK6" s="168">
        <f t="shared" si="4"/>
        <v>0</v>
      </c>
      <c r="AL6" s="168">
        <f t="shared" si="4"/>
        <v>0</v>
      </c>
      <c r="AM6" s="168">
        <f t="shared" si="4"/>
        <v>0</v>
      </c>
      <c r="AN6" s="168">
        <f t="shared" si="4"/>
        <v>0</v>
      </c>
      <c r="AO6" s="168">
        <f t="shared" si="4"/>
        <v>0</v>
      </c>
      <c r="AP6" s="168">
        <f t="shared" si="4"/>
        <v>0</v>
      </c>
      <c r="AQ6" s="170"/>
      <c r="AR6" s="171">
        <f t="shared" si="5"/>
        <v>185749.0001</v>
      </c>
      <c r="AT6" s="166">
        <f t="shared" si="6"/>
        <v>2012</v>
      </c>
      <c r="AU6" s="166">
        <f t="shared" si="7"/>
        <v>0</v>
      </c>
      <c r="AV6" s="166">
        <v>100</v>
      </c>
      <c r="AW6" s="241">
        <f t="shared" si="8"/>
        <v>0</v>
      </c>
      <c r="AX6" s="166">
        <f t="shared" si="9"/>
        <v>0</v>
      </c>
      <c r="AY6" s="166">
        <f t="shared" si="10"/>
        <v>1</v>
      </c>
      <c r="AZ6" s="242">
        <f t="shared" si="11"/>
        <v>0</v>
      </c>
      <c r="BA6" s="234">
        <f t="shared" si="12"/>
        <v>1</v>
      </c>
      <c r="BB6" s="235">
        <f t="shared" si="13"/>
        <v>0</v>
      </c>
      <c r="BC6" s="235">
        <f t="shared" si="14"/>
        <v>0</v>
      </c>
      <c r="BD6" s="236">
        <f t="shared" si="15"/>
        <v>0</v>
      </c>
    </row>
    <row r="7" spans="1:56" s="163" customFormat="1" ht="16.25" customHeight="1">
      <c r="A7" s="163" t="s">
        <v>234</v>
      </c>
      <c r="B7" s="163" t="s">
        <v>296</v>
      </c>
      <c r="C7" s="164" t="s">
        <v>394</v>
      </c>
      <c r="D7" s="166">
        <v>1</v>
      </c>
      <c r="E7" s="177">
        <f>(RoofPavilioncostyear)</f>
        <v>2019</v>
      </c>
      <c r="F7" s="203">
        <f>D7*Roofpavilionunitcost</f>
        <v>10000</v>
      </c>
      <c r="G7" s="167">
        <v>0</v>
      </c>
      <c r="H7" s="206">
        <f t="shared" si="1"/>
        <v>10350</v>
      </c>
      <c r="I7" s="166">
        <v>2011</v>
      </c>
      <c r="J7" s="166">
        <v>0</v>
      </c>
      <c r="K7" s="177">
        <f>RoofPavilionLife</f>
        <v>25</v>
      </c>
      <c r="L7" s="169" t="s">
        <v>414</v>
      </c>
      <c r="M7" s="168">
        <f t="shared" si="2"/>
        <v>0</v>
      </c>
      <c r="N7" s="168">
        <f t="shared" si="2"/>
        <v>0</v>
      </c>
      <c r="O7" s="168">
        <f t="shared" si="2"/>
        <v>0</v>
      </c>
      <c r="P7" s="168">
        <f t="shared" si="2"/>
        <v>0</v>
      </c>
      <c r="Q7" s="168">
        <f t="shared" si="2"/>
        <v>0</v>
      </c>
      <c r="R7" s="168">
        <f t="shared" si="2"/>
        <v>0</v>
      </c>
      <c r="S7" s="168">
        <f t="shared" si="2"/>
        <v>0</v>
      </c>
      <c r="T7" s="168">
        <f t="shared" si="2"/>
        <v>0</v>
      </c>
      <c r="U7" s="168">
        <f t="shared" si="2"/>
        <v>0</v>
      </c>
      <c r="V7" s="168">
        <f t="shared" si="2"/>
        <v>0</v>
      </c>
      <c r="W7" s="168">
        <f t="shared" si="3"/>
        <v>0</v>
      </c>
      <c r="X7" s="168">
        <f t="shared" si="3"/>
        <v>0</v>
      </c>
      <c r="Y7" s="168">
        <f t="shared" si="3"/>
        <v>0</v>
      </c>
      <c r="Z7" s="168">
        <f t="shared" si="3"/>
        <v>0</v>
      </c>
      <c r="AA7" s="168">
        <f t="shared" si="3"/>
        <v>0</v>
      </c>
      <c r="AB7" s="168">
        <f t="shared" si="3"/>
        <v>0</v>
      </c>
      <c r="AC7" s="168">
        <f t="shared" si="3"/>
        <v>17947</v>
      </c>
      <c r="AD7" s="168">
        <f t="shared" si="3"/>
        <v>0</v>
      </c>
      <c r="AE7" s="168">
        <f t="shared" si="3"/>
        <v>0</v>
      </c>
      <c r="AF7" s="168">
        <f t="shared" si="3"/>
        <v>0</v>
      </c>
      <c r="AG7" s="168">
        <f t="shared" si="4"/>
        <v>0</v>
      </c>
      <c r="AH7" s="168">
        <f t="shared" si="4"/>
        <v>0</v>
      </c>
      <c r="AI7" s="168">
        <f t="shared" si="4"/>
        <v>0</v>
      </c>
      <c r="AJ7" s="168">
        <f t="shared" si="4"/>
        <v>0</v>
      </c>
      <c r="AK7" s="168">
        <f t="shared" si="4"/>
        <v>0</v>
      </c>
      <c r="AL7" s="168">
        <f t="shared" si="4"/>
        <v>0</v>
      </c>
      <c r="AM7" s="168">
        <f t="shared" si="4"/>
        <v>0</v>
      </c>
      <c r="AN7" s="168">
        <f t="shared" si="4"/>
        <v>0</v>
      </c>
      <c r="AO7" s="168">
        <f t="shared" si="4"/>
        <v>0</v>
      </c>
      <c r="AP7" s="168">
        <f t="shared" si="4"/>
        <v>0</v>
      </c>
      <c r="AQ7" s="170"/>
      <c r="AR7" s="171">
        <f t="shared" si="5"/>
        <v>17947.000100000001</v>
      </c>
      <c r="AT7" s="166">
        <f t="shared" si="6"/>
        <v>2011</v>
      </c>
      <c r="AU7" s="166">
        <f t="shared" si="7"/>
        <v>0</v>
      </c>
      <c r="AV7" s="166">
        <v>100</v>
      </c>
      <c r="AW7" s="241">
        <f t="shared" si="8"/>
        <v>0</v>
      </c>
      <c r="AX7" s="166">
        <f t="shared" si="9"/>
        <v>1</v>
      </c>
      <c r="AY7" s="166">
        <f t="shared" si="10"/>
        <v>0</v>
      </c>
      <c r="AZ7" s="242">
        <f t="shared" si="11"/>
        <v>0</v>
      </c>
      <c r="BA7" s="234">
        <f t="shared" si="12"/>
        <v>1</v>
      </c>
      <c r="BB7" s="235">
        <f t="shared" si="13"/>
        <v>0</v>
      </c>
      <c r="BC7" s="235">
        <f t="shared" si="14"/>
        <v>0</v>
      </c>
      <c r="BD7" s="236">
        <f t="shared" si="15"/>
        <v>0</v>
      </c>
    </row>
    <row r="8" spans="1:56" s="163" customFormat="1" ht="16.25" customHeight="1">
      <c r="A8" s="163" t="s">
        <v>234</v>
      </c>
      <c r="B8" s="163" t="s">
        <v>296</v>
      </c>
      <c r="C8" s="164" t="s">
        <v>306</v>
      </c>
      <c r="D8" s="165">
        <v>1</v>
      </c>
      <c r="E8" s="177">
        <f>WIndowsClubhouseCostYear</f>
        <v>2014</v>
      </c>
      <c r="F8" s="203">
        <f>D8*WindowsClubhouseUnitCost</f>
        <v>26649</v>
      </c>
      <c r="G8" s="167">
        <v>0</v>
      </c>
      <c r="H8" s="206">
        <f t="shared" si="1"/>
        <v>32758.425191754985</v>
      </c>
      <c r="I8" s="166">
        <v>2012</v>
      </c>
      <c r="J8" s="166">
        <v>0</v>
      </c>
      <c r="K8" s="177">
        <f>WIndowsClubhouseLife</f>
        <v>25</v>
      </c>
      <c r="L8" s="169" t="s">
        <v>444</v>
      </c>
      <c r="M8" s="168">
        <f t="shared" si="2"/>
        <v>0</v>
      </c>
      <c r="N8" s="168">
        <f t="shared" si="2"/>
        <v>0</v>
      </c>
      <c r="O8" s="168">
        <f t="shared" si="2"/>
        <v>0</v>
      </c>
      <c r="P8" s="168">
        <f t="shared" si="2"/>
        <v>0</v>
      </c>
      <c r="Q8" s="168">
        <f t="shared" si="2"/>
        <v>0</v>
      </c>
      <c r="R8" s="168">
        <f t="shared" si="2"/>
        <v>0</v>
      </c>
      <c r="S8" s="168">
        <f t="shared" si="2"/>
        <v>0</v>
      </c>
      <c r="T8" s="168">
        <f t="shared" si="2"/>
        <v>0</v>
      </c>
      <c r="U8" s="168">
        <f t="shared" si="2"/>
        <v>0</v>
      </c>
      <c r="V8" s="168">
        <f t="shared" si="2"/>
        <v>0</v>
      </c>
      <c r="W8" s="168">
        <f t="shared" si="3"/>
        <v>0</v>
      </c>
      <c r="X8" s="168">
        <f t="shared" si="3"/>
        <v>0</v>
      </c>
      <c r="Y8" s="168">
        <f t="shared" si="3"/>
        <v>0</v>
      </c>
      <c r="Z8" s="168">
        <f t="shared" si="3"/>
        <v>0</v>
      </c>
      <c r="AA8" s="168">
        <f t="shared" si="3"/>
        <v>0</v>
      </c>
      <c r="AB8" s="168">
        <f t="shared" si="3"/>
        <v>0</v>
      </c>
      <c r="AC8" s="168">
        <f t="shared" si="3"/>
        <v>0</v>
      </c>
      <c r="AD8" s="168">
        <f t="shared" si="3"/>
        <v>58791</v>
      </c>
      <c r="AE8" s="168">
        <f t="shared" si="3"/>
        <v>0</v>
      </c>
      <c r="AF8" s="168">
        <f t="shared" si="3"/>
        <v>0</v>
      </c>
      <c r="AG8" s="168">
        <f t="shared" si="4"/>
        <v>0</v>
      </c>
      <c r="AH8" s="168">
        <f t="shared" si="4"/>
        <v>0</v>
      </c>
      <c r="AI8" s="168">
        <f t="shared" si="4"/>
        <v>0</v>
      </c>
      <c r="AJ8" s="168">
        <f t="shared" si="4"/>
        <v>0</v>
      </c>
      <c r="AK8" s="168">
        <f t="shared" si="4"/>
        <v>0</v>
      </c>
      <c r="AL8" s="168">
        <f t="shared" si="4"/>
        <v>0</v>
      </c>
      <c r="AM8" s="168">
        <f t="shared" si="4"/>
        <v>0</v>
      </c>
      <c r="AN8" s="168">
        <f t="shared" si="4"/>
        <v>0</v>
      </c>
      <c r="AO8" s="168">
        <f t="shared" si="4"/>
        <v>0</v>
      </c>
      <c r="AP8" s="168">
        <f t="shared" si="4"/>
        <v>0</v>
      </c>
      <c r="AQ8" s="170"/>
      <c r="AR8" s="171">
        <f t="shared" si="5"/>
        <v>58791.000099999997</v>
      </c>
      <c r="AT8" s="166">
        <f t="shared" si="6"/>
        <v>2012</v>
      </c>
      <c r="AU8" s="166">
        <f t="shared" si="7"/>
        <v>0</v>
      </c>
      <c r="AV8" s="166">
        <v>100</v>
      </c>
      <c r="AW8" s="241">
        <f t="shared" si="8"/>
        <v>0</v>
      </c>
      <c r="AX8" s="166">
        <f t="shared" si="9"/>
        <v>0</v>
      </c>
      <c r="AY8" s="166">
        <f t="shared" si="10"/>
        <v>1</v>
      </c>
      <c r="AZ8" s="242">
        <f t="shared" si="11"/>
        <v>0</v>
      </c>
      <c r="BA8" s="234">
        <f t="shared" si="12"/>
        <v>1</v>
      </c>
      <c r="BB8" s="235">
        <f t="shared" si="13"/>
        <v>0</v>
      </c>
      <c r="BC8" s="235">
        <f t="shared" si="14"/>
        <v>0</v>
      </c>
      <c r="BD8" s="236">
        <f t="shared" si="15"/>
        <v>0</v>
      </c>
    </row>
    <row r="9" spans="1:56" s="163" customFormat="1" ht="16.25" customHeight="1">
      <c r="A9" s="163" t="s">
        <v>234</v>
      </c>
      <c r="B9" s="163" t="s">
        <v>296</v>
      </c>
      <c r="C9" s="164" t="s">
        <v>307</v>
      </c>
      <c r="D9" s="165">
        <v>1</v>
      </c>
      <c r="E9" s="177">
        <f>WindowsOfficeCostYear</f>
        <v>2014</v>
      </c>
      <c r="F9" s="203">
        <f>D9*WindowsOfficeUnitCost</f>
        <v>15296</v>
      </c>
      <c r="G9" s="167">
        <v>0</v>
      </c>
      <c r="H9" s="206">
        <f t="shared" si="1"/>
        <v>18802.689471765705</v>
      </c>
      <c r="I9" s="166">
        <v>2012</v>
      </c>
      <c r="J9" s="166">
        <v>0</v>
      </c>
      <c r="K9" s="177">
        <f>WIndowsOfficeLife</f>
        <v>25</v>
      </c>
      <c r="L9" s="169" t="s">
        <v>444</v>
      </c>
      <c r="M9" s="168">
        <f t="shared" si="2"/>
        <v>0</v>
      </c>
      <c r="N9" s="168">
        <f t="shared" si="2"/>
        <v>0</v>
      </c>
      <c r="O9" s="168">
        <f t="shared" si="2"/>
        <v>0</v>
      </c>
      <c r="P9" s="168">
        <f t="shared" si="2"/>
        <v>0</v>
      </c>
      <c r="Q9" s="168">
        <f t="shared" si="2"/>
        <v>0</v>
      </c>
      <c r="R9" s="168">
        <f t="shared" si="2"/>
        <v>0</v>
      </c>
      <c r="S9" s="168">
        <f t="shared" si="2"/>
        <v>0</v>
      </c>
      <c r="T9" s="168">
        <f t="shared" si="2"/>
        <v>0</v>
      </c>
      <c r="U9" s="168">
        <f t="shared" si="2"/>
        <v>0</v>
      </c>
      <c r="V9" s="168">
        <f t="shared" si="2"/>
        <v>0</v>
      </c>
      <c r="W9" s="168">
        <f t="shared" si="3"/>
        <v>0</v>
      </c>
      <c r="X9" s="168">
        <f t="shared" si="3"/>
        <v>0</v>
      </c>
      <c r="Y9" s="168">
        <f t="shared" si="3"/>
        <v>0</v>
      </c>
      <c r="Z9" s="168">
        <f t="shared" si="3"/>
        <v>0</v>
      </c>
      <c r="AA9" s="168">
        <f t="shared" si="3"/>
        <v>0</v>
      </c>
      <c r="AB9" s="168">
        <f t="shared" si="3"/>
        <v>0</v>
      </c>
      <c r="AC9" s="168">
        <f t="shared" si="3"/>
        <v>0</v>
      </c>
      <c r="AD9" s="168">
        <f t="shared" si="3"/>
        <v>33745</v>
      </c>
      <c r="AE9" s="168">
        <f t="shared" si="3"/>
        <v>0</v>
      </c>
      <c r="AF9" s="168">
        <f t="shared" si="3"/>
        <v>0</v>
      </c>
      <c r="AG9" s="168">
        <f t="shared" si="4"/>
        <v>0</v>
      </c>
      <c r="AH9" s="168">
        <f t="shared" si="4"/>
        <v>0</v>
      </c>
      <c r="AI9" s="168">
        <f t="shared" si="4"/>
        <v>0</v>
      </c>
      <c r="AJ9" s="168">
        <f t="shared" si="4"/>
        <v>0</v>
      </c>
      <c r="AK9" s="168">
        <f t="shared" si="4"/>
        <v>0</v>
      </c>
      <c r="AL9" s="168">
        <f t="shared" si="4"/>
        <v>0</v>
      </c>
      <c r="AM9" s="168">
        <f t="shared" si="4"/>
        <v>0</v>
      </c>
      <c r="AN9" s="168">
        <f t="shared" si="4"/>
        <v>0</v>
      </c>
      <c r="AO9" s="168">
        <f t="shared" si="4"/>
        <v>0</v>
      </c>
      <c r="AP9" s="168">
        <f t="shared" si="4"/>
        <v>0</v>
      </c>
      <c r="AQ9" s="170"/>
      <c r="AR9" s="171">
        <f t="shared" si="5"/>
        <v>33745.000099999997</v>
      </c>
      <c r="AT9" s="166">
        <f t="shared" si="6"/>
        <v>2012</v>
      </c>
      <c r="AU9" s="166">
        <f t="shared" si="7"/>
        <v>0</v>
      </c>
      <c r="AV9" s="166">
        <v>100</v>
      </c>
      <c r="AW9" s="241">
        <f t="shared" si="8"/>
        <v>0</v>
      </c>
      <c r="AX9" s="166">
        <f t="shared" si="9"/>
        <v>0</v>
      </c>
      <c r="AY9" s="166">
        <f t="shared" si="10"/>
        <v>1</v>
      </c>
      <c r="AZ9" s="242">
        <f t="shared" si="11"/>
        <v>0</v>
      </c>
      <c r="BA9" s="234">
        <f t="shared" si="12"/>
        <v>1</v>
      </c>
      <c r="BB9" s="235">
        <f t="shared" si="13"/>
        <v>0</v>
      </c>
      <c r="BC9" s="235">
        <f t="shared" si="14"/>
        <v>0</v>
      </c>
      <c r="BD9" s="236">
        <f t="shared" si="15"/>
        <v>0</v>
      </c>
    </row>
    <row r="10" spans="1:56" s="163" customFormat="1" ht="16.25" customHeight="1">
      <c r="A10" s="163" t="s">
        <v>234</v>
      </c>
      <c r="B10" s="163" t="s">
        <v>325</v>
      </c>
      <c r="C10" s="164" t="s">
        <v>298</v>
      </c>
      <c r="D10" s="179">
        <v>313</v>
      </c>
      <c r="E10" s="177">
        <f>floorauditoriumcostyear</f>
        <v>2019</v>
      </c>
      <c r="F10" s="203">
        <f>D10*floorauditoriumunitcost</f>
        <v>25353</v>
      </c>
      <c r="G10" s="167">
        <v>0</v>
      </c>
      <c r="H10" s="206">
        <f t="shared" si="1"/>
        <v>26240.355</v>
      </c>
      <c r="I10" s="166">
        <v>2012</v>
      </c>
      <c r="J10" s="166"/>
      <c r="K10" s="177">
        <f>floorauditoriumlife</f>
        <v>10</v>
      </c>
      <c r="L10" s="169" t="s">
        <v>444</v>
      </c>
      <c r="M10" s="168">
        <f t="shared" si="2"/>
        <v>0</v>
      </c>
      <c r="N10" s="168">
        <f t="shared" si="2"/>
        <v>0</v>
      </c>
      <c r="O10" s="168">
        <f t="shared" si="2"/>
        <v>28109</v>
      </c>
      <c r="P10" s="168">
        <f t="shared" si="2"/>
        <v>0</v>
      </c>
      <c r="Q10" s="168">
        <f t="shared" si="2"/>
        <v>0</v>
      </c>
      <c r="R10" s="168">
        <f t="shared" si="2"/>
        <v>0</v>
      </c>
      <c r="S10" s="168">
        <f t="shared" si="2"/>
        <v>0</v>
      </c>
      <c r="T10" s="168">
        <f t="shared" si="2"/>
        <v>0</v>
      </c>
      <c r="U10" s="168">
        <f t="shared" si="2"/>
        <v>0</v>
      </c>
      <c r="V10" s="168">
        <f t="shared" si="2"/>
        <v>0</v>
      </c>
      <c r="W10" s="168">
        <f t="shared" si="3"/>
        <v>0</v>
      </c>
      <c r="X10" s="168">
        <f t="shared" si="3"/>
        <v>0</v>
      </c>
      <c r="Y10" s="168">
        <f t="shared" si="3"/>
        <v>39651</v>
      </c>
      <c r="Z10" s="168">
        <f t="shared" si="3"/>
        <v>0</v>
      </c>
      <c r="AA10" s="168">
        <f t="shared" si="3"/>
        <v>0</v>
      </c>
      <c r="AB10" s="168">
        <f t="shared" si="3"/>
        <v>0</v>
      </c>
      <c r="AC10" s="168">
        <f t="shared" si="3"/>
        <v>0</v>
      </c>
      <c r="AD10" s="168">
        <f t="shared" si="3"/>
        <v>0</v>
      </c>
      <c r="AE10" s="168">
        <f t="shared" si="3"/>
        <v>0</v>
      </c>
      <c r="AF10" s="168">
        <f t="shared" si="3"/>
        <v>0</v>
      </c>
      <c r="AG10" s="168">
        <f t="shared" si="4"/>
        <v>0</v>
      </c>
      <c r="AH10" s="168">
        <f t="shared" si="4"/>
        <v>0</v>
      </c>
      <c r="AI10" s="168">
        <f t="shared" si="4"/>
        <v>55932</v>
      </c>
      <c r="AJ10" s="168">
        <f t="shared" si="4"/>
        <v>0</v>
      </c>
      <c r="AK10" s="168">
        <f t="shared" si="4"/>
        <v>0</v>
      </c>
      <c r="AL10" s="168">
        <f t="shared" si="4"/>
        <v>0</v>
      </c>
      <c r="AM10" s="168">
        <f t="shared" si="4"/>
        <v>0</v>
      </c>
      <c r="AN10" s="168">
        <f t="shared" si="4"/>
        <v>0</v>
      </c>
      <c r="AO10" s="168">
        <f t="shared" si="4"/>
        <v>0</v>
      </c>
      <c r="AP10" s="168">
        <f t="shared" si="4"/>
        <v>0</v>
      </c>
      <c r="AQ10" s="170"/>
      <c r="AR10" s="171">
        <f t="shared" si="5"/>
        <v>123692.0001</v>
      </c>
      <c r="AT10" s="166">
        <f t="shared" si="6"/>
        <v>2012</v>
      </c>
      <c r="AU10" s="166">
        <f t="shared" si="7"/>
        <v>0</v>
      </c>
      <c r="AV10" s="166">
        <v>100</v>
      </c>
      <c r="AW10" s="241">
        <f t="shared" si="8"/>
        <v>0</v>
      </c>
      <c r="AX10" s="166">
        <f t="shared" si="9"/>
        <v>0</v>
      </c>
      <c r="AY10" s="166">
        <f t="shared" si="10"/>
        <v>1</v>
      </c>
      <c r="AZ10" s="242">
        <f t="shared" si="11"/>
        <v>0</v>
      </c>
      <c r="BA10" s="234">
        <f t="shared" si="12"/>
        <v>1</v>
      </c>
      <c r="BB10" s="235">
        <f t="shared" si="13"/>
        <v>0</v>
      </c>
      <c r="BC10" s="235">
        <f t="shared" si="14"/>
        <v>0</v>
      </c>
      <c r="BD10" s="236">
        <f t="shared" si="15"/>
        <v>0</v>
      </c>
    </row>
    <row r="11" spans="1:56" s="163" customFormat="1" ht="16.25" customHeight="1">
      <c r="A11" s="163" t="s">
        <v>234</v>
      </c>
      <c r="B11" s="163" t="s">
        <v>325</v>
      </c>
      <c r="C11" s="164" t="s">
        <v>304</v>
      </c>
      <c r="D11" s="179">
        <v>113</v>
      </c>
      <c r="E11" s="177">
        <f>floorstagecostyear</f>
        <v>2019</v>
      </c>
      <c r="F11" s="203">
        <f>D11*floorstageunitcost</f>
        <v>12204</v>
      </c>
      <c r="G11" s="167">
        <v>12145</v>
      </c>
      <c r="H11" s="206">
        <f t="shared" si="1"/>
        <v>12631.14</v>
      </c>
      <c r="I11" s="166">
        <v>2019</v>
      </c>
      <c r="J11" s="166">
        <v>0</v>
      </c>
      <c r="K11" s="177">
        <f>floorstagelife</f>
        <v>10</v>
      </c>
      <c r="L11" s="169" t="s">
        <v>444</v>
      </c>
      <c r="M11" s="168">
        <f t="shared" si="2"/>
        <v>0</v>
      </c>
      <c r="N11" s="168">
        <f t="shared" si="2"/>
        <v>0</v>
      </c>
      <c r="O11" s="168">
        <f t="shared" si="2"/>
        <v>0</v>
      </c>
      <c r="P11" s="168">
        <f t="shared" si="2"/>
        <v>0</v>
      </c>
      <c r="Q11" s="168">
        <f t="shared" si="2"/>
        <v>0</v>
      </c>
      <c r="R11" s="168">
        <f t="shared" si="2"/>
        <v>0</v>
      </c>
      <c r="S11" s="168">
        <f t="shared" si="2"/>
        <v>0</v>
      </c>
      <c r="T11" s="168">
        <f t="shared" si="2"/>
        <v>0</v>
      </c>
      <c r="U11" s="168">
        <f t="shared" si="2"/>
        <v>0</v>
      </c>
      <c r="V11" s="168">
        <f t="shared" si="2"/>
        <v>17215</v>
      </c>
      <c r="W11" s="168">
        <f t="shared" si="3"/>
        <v>0</v>
      </c>
      <c r="X11" s="168">
        <f t="shared" si="3"/>
        <v>0</v>
      </c>
      <c r="Y11" s="168">
        <f t="shared" si="3"/>
        <v>0</v>
      </c>
      <c r="Z11" s="168">
        <f t="shared" si="3"/>
        <v>0</v>
      </c>
      <c r="AA11" s="168">
        <f t="shared" si="3"/>
        <v>0</v>
      </c>
      <c r="AB11" s="168">
        <f t="shared" si="3"/>
        <v>0</v>
      </c>
      <c r="AC11" s="168">
        <f t="shared" si="3"/>
        <v>0</v>
      </c>
      <c r="AD11" s="168">
        <f t="shared" si="3"/>
        <v>0</v>
      </c>
      <c r="AE11" s="168">
        <f t="shared" si="3"/>
        <v>0</v>
      </c>
      <c r="AF11" s="168">
        <f t="shared" si="3"/>
        <v>24283</v>
      </c>
      <c r="AG11" s="168">
        <f t="shared" si="4"/>
        <v>0</v>
      </c>
      <c r="AH11" s="168">
        <f t="shared" si="4"/>
        <v>0</v>
      </c>
      <c r="AI11" s="168">
        <f t="shared" si="4"/>
        <v>0</v>
      </c>
      <c r="AJ11" s="168">
        <f t="shared" si="4"/>
        <v>0</v>
      </c>
      <c r="AK11" s="168">
        <f t="shared" si="4"/>
        <v>0</v>
      </c>
      <c r="AL11" s="168">
        <f t="shared" si="4"/>
        <v>0</v>
      </c>
      <c r="AM11" s="168">
        <f t="shared" si="4"/>
        <v>0</v>
      </c>
      <c r="AN11" s="168">
        <f t="shared" si="4"/>
        <v>0</v>
      </c>
      <c r="AO11" s="168">
        <f t="shared" si="4"/>
        <v>0</v>
      </c>
      <c r="AP11" s="168">
        <f t="shared" si="4"/>
        <v>34254</v>
      </c>
      <c r="AQ11" s="170"/>
      <c r="AR11" s="171">
        <f t="shared" si="5"/>
        <v>75752.000100000005</v>
      </c>
      <c r="AT11" s="166">
        <f t="shared" si="6"/>
        <v>2019</v>
      </c>
      <c r="AU11" s="166">
        <f t="shared" si="7"/>
        <v>0</v>
      </c>
      <c r="AV11" s="166">
        <v>100</v>
      </c>
      <c r="AW11" s="241">
        <f t="shared" si="8"/>
        <v>0</v>
      </c>
      <c r="AX11" s="166">
        <f t="shared" si="9"/>
        <v>0</v>
      </c>
      <c r="AY11" s="166">
        <f t="shared" si="10"/>
        <v>1</v>
      </c>
      <c r="AZ11" s="242">
        <f t="shared" si="11"/>
        <v>0</v>
      </c>
      <c r="BA11" s="234">
        <f t="shared" si="12"/>
        <v>1</v>
      </c>
      <c r="BB11" s="235">
        <f t="shared" si="13"/>
        <v>0</v>
      </c>
      <c r="BC11" s="235">
        <f t="shared" si="14"/>
        <v>0</v>
      </c>
      <c r="BD11" s="236">
        <f t="shared" si="15"/>
        <v>0</v>
      </c>
    </row>
    <row r="12" spans="1:56" s="163" customFormat="1" ht="16.25" customHeight="1">
      <c r="A12" s="163" t="s">
        <v>234</v>
      </c>
      <c r="B12" s="163" t="s">
        <v>325</v>
      </c>
      <c r="C12" s="164" t="s">
        <v>299</v>
      </c>
      <c r="D12" s="179">
        <v>285</v>
      </c>
      <c r="E12" s="177">
        <f>clubcarpeting5yearcostyear</f>
        <v>2018</v>
      </c>
      <c r="F12" s="203">
        <f>D12*clubcarpeting5yearunitcost</f>
        <v>18525</v>
      </c>
      <c r="G12" s="167">
        <v>0</v>
      </c>
      <c r="H12" s="206">
        <f t="shared" si="1"/>
        <v>19844.443124999998</v>
      </c>
      <c r="I12" s="166">
        <v>2018</v>
      </c>
      <c r="J12" s="166">
        <v>0</v>
      </c>
      <c r="K12" s="177">
        <f>clubcarpeting5yearlife</f>
        <v>5</v>
      </c>
      <c r="L12" s="169" t="s">
        <v>444</v>
      </c>
      <c r="M12" s="168">
        <f t="shared" si="2"/>
        <v>0</v>
      </c>
      <c r="N12" s="168">
        <f t="shared" si="2"/>
        <v>0</v>
      </c>
      <c r="O12" s="168">
        <f t="shared" si="2"/>
        <v>0</v>
      </c>
      <c r="P12" s="168">
        <f t="shared" si="2"/>
        <v>22002</v>
      </c>
      <c r="Q12" s="168">
        <f t="shared" si="2"/>
        <v>0</v>
      </c>
      <c r="R12" s="168">
        <f t="shared" si="2"/>
        <v>0</v>
      </c>
      <c r="S12" s="168">
        <f t="shared" si="2"/>
        <v>0</v>
      </c>
      <c r="T12" s="168">
        <f t="shared" si="2"/>
        <v>0</v>
      </c>
      <c r="U12" s="168">
        <f t="shared" si="2"/>
        <v>26131</v>
      </c>
      <c r="V12" s="168">
        <f t="shared" si="2"/>
        <v>0</v>
      </c>
      <c r="W12" s="168">
        <f t="shared" si="3"/>
        <v>0</v>
      </c>
      <c r="X12" s="168">
        <f t="shared" si="3"/>
        <v>0</v>
      </c>
      <c r="Y12" s="168">
        <f t="shared" si="3"/>
        <v>0</v>
      </c>
      <c r="Z12" s="168">
        <f t="shared" si="3"/>
        <v>31036</v>
      </c>
      <c r="AA12" s="168">
        <f t="shared" si="3"/>
        <v>0</v>
      </c>
      <c r="AB12" s="168">
        <f t="shared" si="3"/>
        <v>0</v>
      </c>
      <c r="AC12" s="168">
        <f t="shared" si="3"/>
        <v>0</v>
      </c>
      <c r="AD12" s="168">
        <f t="shared" si="3"/>
        <v>0</v>
      </c>
      <c r="AE12" s="168">
        <f t="shared" si="3"/>
        <v>36861</v>
      </c>
      <c r="AF12" s="168">
        <f t="shared" si="3"/>
        <v>0</v>
      </c>
      <c r="AG12" s="168">
        <f t="shared" si="4"/>
        <v>0</v>
      </c>
      <c r="AH12" s="168">
        <f t="shared" si="4"/>
        <v>0</v>
      </c>
      <c r="AI12" s="168">
        <f t="shared" si="4"/>
        <v>0</v>
      </c>
      <c r="AJ12" s="168">
        <f t="shared" si="4"/>
        <v>43779</v>
      </c>
      <c r="AK12" s="168">
        <f t="shared" si="4"/>
        <v>0</v>
      </c>
      <c r="AL12" s="168">
        <f t="shared" si="4"/>
        <v>0</v>
      </c>
      <c r="AM12" s="168">
        <f t="shared" si="4"/>
        <v>0</v>
      </c>
      <c r="AN12" s="168">
        <f t="shared" si="4"/>
        <v>0</v>
      </c>
      <c r="AO12" s="168">
        <f t="shared" si="4"/>
        <v>51996</v>
      </c>
      <c r="AP12" s="168">
        <f t="shared" si="4"/>
        <v>0</v>
      </c>
      <c r="AQ12" s="170"/>
      <c r="AR12" s="171">
        <f t="shared" si="5"/>
        <v>211805.0001</v>
      </c>
      <c r="AT12" s="166">
        <f t="shared" si="6"/>
        <v>2018</v>
      </c>
      <c r="AU12" s="166">
        <f t="shared" si="7"/>
        <v>0</v>
      </c>
      <c r="AV12" s="166">
        <v>100</v>
      </c>
      <c r="AW12" s="241">
        <f t="shared" si="8"/>
        <v>0</v>
      </c>
      <c r="AX12" s="166">
        <f t="shared" si="9"/>
        <v>0</v>
      </c>
      <c r="AY12" s="166">
        <f t="shared" si="10"/>
        <v>1</v>
      </c>
      <c r="AZ12" s="242">
        <f t="shared" si="11"/>
        <v>0</v>
      </c>
      <c r="BA12" s="234">
        <f t="shared" si="12"/>
        <v>1</v>
      </c>
      <c r="BB12" s="235">
        <f t="shared" si="13"/>
        <v>0</v>
      </c>
      <c r="BC12" s="235">
        <f t="shared" si="14"/>
        <v>0</v>
      </c>
      <c r="BD12" s="236">
        <f t="shared" si="15"/>
        <v>0</v>
      </c>
    </row>
    <row r="13" spans="1:56" s="163" customFormat="1" ht="16.25" customHeight="1">
      <c r="A13" s="163" t="s">
        <v>234</v>
      </c>
      <c r="B13" s="163" t="s">
        <v>325</v>
      </c>
      <c r="C13" s="164" t="s">
        <v>328</v>
      </c>
      <c r="D13" s="179">
        <v>158</v>
      </c>
      <c r="E13" s="177">
        <f>exerciseroomfloorcostyear</f>
        <v>2019</v>
      </c>
      <c r="F13" s="203">
        <f>D13*exerciseroomfloorunitcost</f>
        <v>10270</v>
      </c>
      <c r="G13" s="167">
        <v>0</v>
      </c>
      <c r="H13" s="206">
        <f t="shared" si="1"/>
        <v>10629.449999999999</v>
      </c>
      <c r="I13" s="166">
        <v>2012</v>
      </c>
      <c r="J13" s="166"/>
      <c r="K13" s="177">
        <f>exerciseroomfloorlife</f>
        <v>10</v>
      </c>
      <c r="L13" s="169" t="s">
        <v>444</v>
      </c>
      <c r="M13" s="168">
        <f t="shared" ref="M13:V22" si="16">ROUND($H13*IF(AND(M$1&gt;=($I13+$J13),MOD(M$1-($I13+$J13),$K13)=0),(1+InflationRate)^(M$1-AnalysisYear),0),0)*IF(AND(M$1&gt;=($AT13+$AU13),(M$1-($AT13+$AU13))&lt;&gt;0,MOD(M$1-($AT13+$AU13),$AV13)=0),0,1)</f>
        <v>0</v>
      </c>
      <c r="N13" s="168">
        <f t="shared" si="16"/>
        <v>0</v>
      </c>
      <c r="O13" s="168">
        <f t="shared" si="16"/>
        <v>11387</v>
      </c>
      <c r="P13" s="168">
        <f t="shared" si="16"/>
        <v>0</v>
      </c>
      <c r="Q13" s="168">
        <f t="shared" si="16"/>
        <v>0</v>
      </c>
      <c r="R13" s="168">
        <f t="shared" si="16"/>
        <v>0</v>
      </c>
      <c r="S13" s="168">
        <f t="shared" si="16"/>
        <v>0</v>
      </c>
      <c r="T13" s="168">
        <f t="shared" si="16"/>
        <v>0</v>
      </c>
      <c r="U13" s="168">
        <f t="shared" si="16"/>
        <v>0</v>
      </c>
      <c r="V13" s="168">
        <f t="shared" si="16"/>
        <v>0</v>
      </c>
      <c r="W13" s="168">
        <f t="shared" ref="W13:AF22" si="17">ROUND($H13*IF(AND(W$1&gt;=($I13+$J13),MOD(W$1-($I13+$J13),$K13)=0),(1+InflationRate)^(W$1-AnalysisYear),0),0)*IF(AND(W$1&gt;=($AT13+$AU13),(W$1-($AT13+$AU13))&lt;&gt;0,MOD(W$1-($AT13+$AU13),$AV13)=0),0,1)</f>
        <v>0</v>
      </c>
      <c r="X13" s="168">
        <f t="shared" si="17"/>
        <v>0</v>
      </c>
      <c r="Y13" s="168">
        <f t="shared" si="17"/>
        <v>16062</v>
      </c>
      <c r="Z13" s="168">
        <f t="shared" si="17"/>
        <v>0</v>
      </c>
      <c r="AA13" s="168">
        <f t="shared" si="17"/>
        <v>0</v>
      </c>
      <c r="AB13" s="168">
        <f t="shared" si="17"/>
        <v>0</v>
      </c>
      <c r="AC13" s="168">
        <f t="shared" si="17"/>
        <v>0</v>
      </c>
      <c r="AD13" s="168">
        <f t="shared" si="17"/>
        <v>0</v>
      </c>
      <c r="AE13" s="168">
        <f t="shared" si="17"/>
        <v>0</v>
      </c>
      <c r="AF13" s="168">
        <f t="shared" si="17"/>
        <v>0</v>
      </c>
      <c r="AG13" s="168">
        <f t="shared" ref="AG13:AP22" si="18">ROUND($H13*IF(AND(AG$1&gt;=($I13+$J13),MOD(AG$1-($I13+$J13),$K13)=0),(1+InflationRate)^(AG$1-AnalysisYear),0),0)*IF(AND(AG$1&gt;=($AT13+$AU13),(AG$1-($AT13+$AU13))&lt;&gt;0,MOD(AG$1-($AT13+$AU13),$AV13)=0),0,1)</f>
        <v>0</v>
      </c>
      <c r="AH13" s="168">
        <f t="shared" si="18"/>
        <v>0</v>
      </c>
      <c r="AI13" s="168">
        <f t="shared" si="18"/>
        <v>22657</v>
      </c>
      <c r="AJ13" s="168">
        <f t="shared" si="18"/>
        <v>0</v>
      </c>
      <c r="AK13" s="168">
        <f t="shared" si="18"/>
        <v>0</v>
      </c>
      <c r="AL13" s="168">
        <f t="shared" si="18"/>
        <v>0</v>
      </c>
      <c r="AM13" s="168">
        <f t="shared" si="18"/>
        <v>0</v>
      </c>
      <c r="AN13" s="168">
        <f t="shared" si="18"/>
        <v>0</v>
      </c>
      <c r="AO13" s="168">
        <f t="shared" si="18"/>
        <v>0</v>
      </c>
      <c r="AP13" s="168">
        <f t="shared" si="18"/>
        <v>0</v>
      </c>
      <c r="AQ13" s="170"/>
      <c r="AR13" s="171">
        <f t="shared" si="5"/>
        <v>50106.000099999997</v>
      </c>
      <c r="AT13" s="166">
        <f t="shared" si="6"/>
        <v>2012</v>
      </c>
      <c r="AU13" s="166">
        <f t="shared" si="7"/>
        <v>0</v>
      </c>
      <c r="AV13" s="166">
        <v>100</v>
      </c>
      <c r="AW13" s="241">
        <f t="shared" si="8"/>
        <v>0</v>
      </c>
      <c r="AX13" s="166">
        <f t="shared" si="9"/>
        <v>0</v>
      </c>
      <c r="AY13" s="166">
        <f t="shared" si="10"/>
        <v>1</v>
      </c>
      <c r="AZ13" s="242">
        <f t="shared" si="11"/>
        <v>0</v>
      </c>
      <c r="BA13" s="234">
        <f t="shared" si="12"/>
        <v>1</v>
      </c>
      <c r="BB13" s="235">
        <f t="shared" si="13"/>
        <v>0</v>
      </c>
      <c r="BC13" s="235">
        <f t="shared" si="14"/>
        <v>0</v>
      </c>
      <c r="BD13" s="236">
        <f t="shared" si="15"/>
        <v>0</v>
      </c>
    </row>
    <row r="14" spans="1:56" s="163" customFormat="1" ht="16.25" customHeight="1">
      <c r="A14" s="163" t="s">
        <v>234</v>
      </c>
      <c r="B14" s="163" t="s">
        <v>325</v>
      </c>
      <c r="C14" s="164" t="s">
        <v>301</v>
      </c>
      <c r="D14" s="179">
        <v>1530</v>
      </c>
      <c r="E14" s="177">
        <f>Floorlockerroomtilecostyear</f>
        <v>2019</v>
      </c>
      <c r="F14" s="203">
        <f>D14*Floorlockerroomtileunitcost</f>
        <v>22950</v>
      </c>
      <c r="G14" s="167">
        <v>0</v>
      </c>
      <c r="H14" s="206">
        <f t="shared" si="1"/>
        <v>23753.249999999996</v>
      </c>
      <c r="I14" s="166">
        <v>2012</v>
      </c>
      <c r="J14" s="166"/>
      <c r="K14" s="177">
        <f>Floorlockerroomtilelife</f>
        <v>15</v>
      </c>
      <c r="L14" s="169" t="s">
        <v>444</v>
      </c>
      <c r="M14" s="168">
        <f t="shared" si="16"/>
        <v>0</v>
      </c>
      <c r="N14" s="168">
        <f t="shared" si="16"/>
        <v>0</v>
      </c>
      <c r="O14" s="168">
        <f t="shared" si="16"/>
        <v>0</v>
      </c>
      <c r="P14" s="168">
        <f t="shared" si="16"/>
        <v>0</v>
      </c>
      <c r="Q14" s="168">
        <f t="shared" si="16"/>
        <v>0</v>
      </c>
      <c r="R14" s="168">
        <f t="shared" si="16"/>
        <v>0</v>
      </c>
      <c r="S14" s="168">
        <f t="shared" si="16"/>
        <v>0</v>
      </c>
      <c r="T14" s="168">
        <f t="shared" si="16"/>
        <v>30221</v>
      </c>
      <c r="U14" s="168">
        <f t="shared" si="16"/>
        <v>0</v>
      </c>
      <c r="V14" s="168">
        <f t="shared" si="16"/>
        <v>0</v>
      </c>
      <c r="W14" s="168">
        <f t="shared" si="17"/>
        <v>0</v>
      </c>
      <c r="X14" s="168">
        <f t="shared" si="17"/>
        <v>0</v>
      </c>
      <c r="Y14" s="168">
        <f t="shared" si="17"/>
        <v>0</v>
      </c>
      <c r="Z14" s="168">
        <f t="shared" si="17"/>
        <v>0</v>
      </c>
      <c r="AA14" s="168">
        <f t="shared" si="17"/>
        <v>0</v>
      </c>
      <c r="AB14" s="168">
        <f t="shared" si="17"/>
        <v>0</v>
      </c>
      <c r="AC14" s="168">
        <f t="shared" si="17"/>
        <v>0</v>
      </c>
      <c r="AD14" s="168">
        <f t="shared" si="17"/>
        <v>0</v>
      </c>
      <c r="AE14" s="168">
        <f t="shared" si="17"/>
        <v>0</v>
      </c>
      <c r="AF14" s="168">
        <f t="shared" si="17"/>
        <v>0</v>
      </c>
      <c r="AG14" s="168">
        <f t="shared" si="18"/>
        <v>0</v>
      </c>
      <c r="AH14" s="168">
        <f t="shared" si="18"/>
        <v>0</v>
      </c>
      <c r="AI14" s="168">
        <f t="shared" si="18"/>
        <v>50630</v>
      </c>
      <c r="AJ14" s="168">
        <f t="shared" si="18"/>
        <v>0</v>
      </c>
      <c r="AK14" s="168">
        <f t="shared" si="18"/>
        <v>0</v>
      </c>
      <c r="AL14" s="168">
        <f t="shared" si="18"/>
        <v>0</v>
      </c>
      <c r="AM14" s="168">
        <f t="shared" si="18"/>
        <v>0</v>
      </c>
      <c r="AN14" s="168">
        <f t="shared" si="18"/>
        <v>0</v>
      </c>
      <c r="AO14" s="168">
        <f t="shared" si="18"/>
        <v>0</v>
      </c>
      <c r="AP14" s="168">
        <f t="shared" si="18"/>
        <v>0</v>
      </c>
      <c r="AQ14" s="170"/>
      <c r="AR14" s="171">
        <f t="shared" si="5"/>
        <v>80851.000100000005</v>
      </c>
      <c r="AT14" s="166">
        <f t="shared" si="6"/>
        <v>2012</v>
      </c>
      <c r="AU14" s="166">
        <f t="shared" si="7"/>
        <v>0</v>
      </c>
      <c r="AV14" s="166">
        <v>100</v>
      </c>
      <c r="AW14" s="241">
        <f t="shared" si="8"/>
        <v>0</v>
      </c>
      <c r="AX14" s="166">
        <f t="shared" si="9"/>
        <v>0</v>
      </c>
      <c r="AY14" s="166">
        <f t="shared" si="10"/>
        <v>1</v>
      </c>
      <c r="AZ14" s="242">
        <f t="shared" si="11"/>
        <v>0</v>
      </c>
      <c r="BA14" s="234">
        <f t="shared" si="12"/>
        <v>1</v>
      </c>
      <c r="BB14" s="235">
        <f t="shared" si="13"/>
        <v>0</v>
      </c>
      <c r="BC14" s="235">
        <f t="shared" si="14"/>
        <v>0</v>
      </c>
      <c r="BD14" s="236">
        <f t="shared" si="15"/>
        <v>0</v>
      </c>
    </row>
    <row r="15" spans="1:56" s="163" customFormat="1" ht="16.25" customHeight="1">
      <c r="A15" s="163" t="s">
        <v>234</v>
      </c>
      <c r="B15" s="163" t="s">
        <v>325</v>
      </c>
      <c r="C15" s="164" t="s">
        <v>117</v>
      </c>
      <c r="D15" s="179">
        <v>281</v>
      </c>
      <c r="E15" s="177">
        <f>clubcarpeting7yearcostyear</f>
        <v>2018</v>
      </c>
      <c r="F15" s="203">
        <f>D15*clubcarpeting7yearunitcost</f>
        <v>18265</v>
      </c>
      <c r="G15" s="167">
        <v>0</v>
      </c>
      <c r="H15" s="206">
        <f t="shared" si="1"/>
        <v>19565.924624999996</v>
      </c>
      <c r="I15" s="166">
        <v>2012</v>
      </c>
      <c r="J15" s="166">
        <v>1</v>
      </c>
      <c r="K15" s="177">
        <f>clubcarpeting7yearlife</f>
        <v>8</v>
      </c>
      <c r="L15" s="169" t="s">
        <v>444</v>
      </c>
      <c r="M15" s="168">
        <f t="shared" si="16"/>
        <v>0</v>
      </c>
      <c r="N15" s="168">
        <f t="shared" si="16"/>
        <v>20251</v>
      </c>
      <c r="O15" s="168">
        <f t="shared" si="16"/>
        <v>0</v>
      </c>
      <c r="P15" s="168">
        <f t="shared" si="16"/>
        <v>0</v>
      </c>
      <c r="Q15" s="168">
        <f t="shared" si="16"/>
        <v>0</v>
      </c>
      <c r="R15" s="168">
        <f t="shared" si="16"/>
        <v>0</v>
      </c>
      <c r="S15" s="168">
        <f t="shared" si="16"/>
        <v>0</v>
      </c>
      <c r="T15" s="168">
        <f t="shared" si="16"/>
        <v>0</v>
      </c>
      <c r="U15" s="168">
        <f t="shared" si="16"/>
        <v>0</v>
      </c>
      <c r="V15" s="168">
        <f t="shared" si="16"/>
        <v>26666</v>
      </c>
      <c r="W15" s="168">
        <f t="shared" si="17"/>
        <v>0</v>
      </c>
      <c r="X15" s="168">
        <f t="shared" si="17"/>
        <v>0</v>
      </c>
      <c r="Y15" s="168">
        <f t="shared" si="17"/>
        <v>0</v>
      </c>
      <c r="Z15" s="168">
        <f t="shared" si="17"/>
        <v>0</v>
      </c>
      <c r="AA15" s="168">
        <f t="shared" si="17"/>
        <v>0</v>
      </c>
      <c r="AB15" s="168">
        <f t="shared" si="17"/>
        <v>0</v>
      </c>
      <c r="AC15" s="168">
        <f t="shared" si="17"/>
        <v>0</v>
      </c>
      <c r="AD15" s="168">
        <f t="shared" si="17"/>
        <v>35114</v>
      </c>
      <c r="AE15" s="168">
        <f t="shared" si="17"/>
        <v>0</v>
      </c>
      <c r="AF15" s="168">
        <f t="shared" si="17"/>
        <v>0</v>
      </c>
      <c r="AG15" s="168">
        <f t="shared" si="18"/>
        <v>0</v>
      </c>
      <c r="AH15" s="168">
        <f t="shared" si="18"/>
        <v>0</v>
      </c>
      <c r="AI15" s="168">
        <f t="shared" si="18"/>
        <v>0</v>
      </c>
      <c r="AJ15" s="168">
        <f t="shared" si="18"/>
        <v>0</v>
      </c>
      <c r="AK15" s="168">
        <f t="shared" si="18"/>
        <v>0</v>
      </c>
      <c r="AL15" s="168">
        <f t="shared" si="18"/>
        <v>46239</v>
      </c>
      <c r="AM15" s="168">
        <f t="shared" si="18"/>
        <v>0</v>
      </c>
      <c r="AN15" s="168">
        <f t="shared" si="18"/>
        <v>0</v>
      </c>
      <c r="AO15" s="168">
        <f t="shared" si="18"/>
        <v>0</v>
      </c>
      <c r="AP15" s="168">
        <f t="shared" si="18"/>
        <v>0</v>
      </c>
      <c r="AQ15" s="170"/>
      <c r="AR15" s="171">
        <f t="shared" si="5"/>
        <v>128270.0001</v>
      </c>
      <c r="AT15" s="166">
        <f t="shared" si="6"/>
        <v>2012</v>
      </c>
      <c r="AU15" s="166">
        <f t="shared" si="7"/>
        <v>1</v>
      </c>
      <c r="AV15" s="166">
        <v>100</v>
      </c>
      <c r="AW15" s="241">
        <f t="shared" si="8"/>
        <v>0</v>
      </c>
      <c r="AX15" s="166">
        <f t="shared" si="9"/>
        <v>0</v>
      </c>
      <c r="AY15" s="166">
        <f t="shared" si="10"/>
        <v>1</v>
      </c>
      <c r="AZ15" s="242">
        <f t="shared" si="11"/>
        <v>0</v>
      </c>
      <c r="BA15" s="234">
        <f t="shared" si="12"/>
        <v>1</v>
      </c>
      <c r="BB15" s="235">
        <f t="shared" si="13"/>
        <v>0</v>
      </c>
      <c r="BC15" s="235">
        <f t="shared" si="14"/>
        <v>0</v>
      </c>
      <c r="BD15" s="236">
        <f t="shared" si="15"/>
        <v>0</v>
      </c>
    </row>
    <row r="16" spans="1:56" s="163" customFormat="1" ht="16.25" customHeight="1">
      <c r="A16" s="163" t="s">
        <v>234</v>
      </c>
      <c r="B16" s="163" t="s">
        <v>325</v>
      </c>
      <c r="C16" s="164" t="s">
        <v>300</v>
      </c>
      <c r="D16" s="179">
        <v>494</v>
      </c>
      <c r="E16" s="177">
        <f>clubcarpeting7yearcostyear</f>
        <v>2018</v>
      </c>
      <c r="F16" s="203">
        <f>D16*clubcarpeting5yearunitcost</f>
        <v>32110</v>
      </c>
      <c r="G16" s="167">
        <v>0</v>
      </c>
      <c r="H16" s="206">
        <f t="shared" si="1"/>
        <v>34397.034749999999</v>
      </c>
      <c r="I16" s="166">
        <v>2012</v>
      </c>
      <c r="J16" s="166">
        <v>1</v>
      </c>
      <c r="K16" s="177">
        <f>clubcarpeting7yearlife</f>
        <v>8</v>
      </c>
      <c r="L16" s="169" t="s">
        <v>444</v>
      </c>
      <c r="M16" s="168">
        <f t="shared" si="16"/>
        <v>0</v>
      </c>
      <c r="N16" s="168">
        <f t="shared" si="16"/>
        <v>35601</v>
      </c>
      <c r="O16" s="168">
        <f t="shared" si="16"/>
        <v>0</v>
      </c>
      <c r="P16" s="168">
        <f t="shared" si="16"/>
        <v>0</v>
      </c>
      <c r="Q16" s="168">
        <f t="shared" si="16"/>
        <v>0</v>
      </c>
      <c r="R16" s="168">
        <f t="shared" si="16"/>
        <v>0</v>
      </c>
      <c r="S16" s="168">
        <f t="shared" si="16"/>
        <v>0</v>
      </c>
      <c r="T16" s="168">
        <f t="shared" si="16"/>
        <v>0</v>
      </c>
      <c r="U16" s="168">
        <f t="shared" si="16"/>
        <v>0</v>
      </c>
      <c r="V16" s="168">
        <f t="shared" si="16"/>
        <v>46880</v>
      </c>
      <c r="W16" s="168">
        <f t="shared" si="17"/>
        <v>0</v>
      </c>
      <c r="X16" s="168">
        <f t="shared" si="17"/>
        <v>0</v>
      </c>
      <c r="Y16" s="168">
        <f t="shared" si="17"/>
        <v>0</v>
      </c>
      <c r="Z16" s="168">
        <f t="shared" si="17"/>
        <v>0</v>
      </c>
      <c r="AA16" s="168">
        <f t="shared" si="17"/>
        <v>0</v>
      </c>
      <c r="AB16" s="168">
        <f t="shared" si="17"/>
        <v>0</v>
      </c>
      <c r="AC16" s="168">
        <f t="shared" si="17"/>
        <v>0</v>
      </c>
      <c r="AD16" s="168">
        <f t="shared" si="17"/>
        <v>61732</v>
      </c>
      <c r="AE16" s="168">
        <f t="shared" si="17"/>
        <v>0</v>
      </c>
      <c r="AF16" s="168">
        <f t="shared" si="17"/>
        <v>0</v>
      </c>
      <c r="AG16" s="168">
        <f t="shared" si="18"/>
        <v>0</v>
      </c>
      <c r="AH16" s="168">
        <f t="shared" si="18"/>
        <v>0</v>
      </c>
      <c r="AI16" s="168">
        <f t="shared" si="18"/>
        <v>0</v>
      </c>
      <c r="AJ16" s="168">
        <f t="shared" si="18"/>
        <v>0</v>
      </c>
      <c r="AK16" s="168">
        <f t="shared" si="18"/>
        <v>0</v>
      </c>
      <c r="AL16" s="168">
        <f t="shared" si="18"/>
        <v>81289</v>
      </c>
      <c r="AM16" s="168">
        <f t="shared" si="18"/>
        <v>0</v>
      </c>
      <c r="AN16" s="168">
        <f t="shared" si="18"/>
        <v>0</v>
      </c>
      <c r="AO16" s="168">
        <f t="shared" si="18"/>
        <v>0</v>
      </c>
      <c r="AP16" s="168">
        <f t="shared" si="18"/>
        <v>0</v>
      </c>
      <c r="AQ16" s="170"/>
      <c r="AR16" s="171">
        <f t="shared" si="5"/>
        <v>225502.0001</v>
      </c>
      <c r="AT16" s="166">
        <f t="shared" si="6"/>
        <v>2012</v>
      </c>
      <c r="AU16" s="166">
        <f t="shared" si="7"/>
        <v>1</v>
      </c>
      <c r="AV16" s="166">
        <v>100</v>
      </c>
      <c r="AW16" s="241">
        <f t="shared" si="8"/>
        <v>0</v>
      </c>
      <c r="AX16" s="166">
        <f t="shared" si="9"/>
        <v>0</v>
      </c>
      <c r="AY16" s="166">
        <f t="shared" si="10"/>
        <v>1</v>
      </c>
      <c r="AZ16" s="242">
        <f t="shared" si="11"/>
        <v>0</v>
      </c>
      <c r="BA16" s="234">
        <f t="shared" si="12"/>
        <v>1</v>
      </c>
      <c r="BB16" s="235">
        <f t="shared" si="13"/>
        <v>0</v>
      </c>
      <c r="BC16" s="235">
        <f t="shared" si="14"/>
        <v>0</v>
      </c>
      <c r="BD16" s="236">
        <f t="shared" si="15"/>
        <v>0</v>
      </c>
    </row>
    <row r="17" spans="1:56" s="163" customFormat="1" ht="16.25" customHeight="1">
      <c r="A17" s="163" t="s">
        <v>234</v>
      </c>
      <c r="B17" s="163" t="s">
        <v>295</v>
      </c>
      <c r="C17" s="164" t="s">
        <v>215</v>
      </c>
      <c r="D17" s="165">
        <v>1</v>
      </c>
      <c r="E17" s="177">
        <f>boilerclubcostyear</f>
        <v>2012</v>
      </c>
      <c r="F17" s="203">
        <f>D17*boilerclubunitcost</f>
        <v>25000</v>
      </c>
      <c r="G17" s="167">
        <v>0</v>
      </c>
      <c r="H17" s="206">
        <f t="shared" si="1"/>
        <v>32920.225924085069</v>
      </c>
      <c r="I17" s="166">
        <v>2012</v>
      </c>
      <c r="J17" s="166"/>
      <c r="K17" s="177">
        <f>boilerclublife</f>
        <v>15</v>
      </c>
      <c r="L17" s="169" t="s">
        <v>444</v>
      </c>
      <c r="M17" s="168">
        <f t="shared" si="16"/>
        <v>0</v>
      </c>
      <c r="N17" s="168">
        <f t="shared" si="16"/>
        <v>0</v>
      </c>
      <c r="O17" s="168">
        <f t="shared" si="16"/>
        <v>0</v>
      </c>
      <c r="P17" s="168">
        <f t="shared" si="16"/>
        <v>0</v>
      </c>
      <c r="Q17" s="168">
        <f t="shared" si="16"/>
        <v>0</v>
      </c>
      <c r="R17" s="168">
        <f t="shared" si="16"/>
        <v>0</v>
      </c>
      <c r="S17" s="168">
        <f t="shared" si="16"/>
        <v>0</v>
      </c>
      <c r="T17" s="168">
        <f t="shared" si="16"/>
        <v>41884</v>
      </c>
      <c r="U17" s="168">
        <f t="shared" si="16"/>
        <v>0</v>
      </c>
      <c r="V17" s="168">
        <f t="shared" si="16"/>
        <v>0</v>
      </c>
      <c r="W17" s="168">
        <f t="shared" si="17"/>
        <v>0</v>
      </c>
      <c r="X17" s="168">
        <f t="shared" si="17"/>
        <v>0</v>
      </c>
      <c r="Y17" s="168">
        <f t="shared" si="17"/>
        <v>0</v>
      </c>
      <c r="Z17" s="168">
        <f t="shared" si="17"/>
        <v>0</v>
      </c>
      <c r="AA17" s="168">
        <f t="shared" si="17"/>
        <v>0</v>
      </c>
      <c r="AB17" s="168">
        <f t="shared" si="17"/>
        <v>0</v>
      </c>
      <c r="AC17" s="168">
        <f t="shared" si="17"/>
        <v>0</v>
      </c>
      <c r="AD17" s="168">
        <f t="shared" si="17"/>
        <v>0</v>
      </c>
      <c r="AE17" s="168">
        <f t="shared" si="17"/>
        <v>0</v>
      </c>
      <c r="AF17" s="168">
        <f t="shared" si="17"/>
        <v>0</v>
      </c>
      <c r="AG17" s="168">
        <f t="shared" si="18"/>
        <v>0</v>
      </c>
      <c r="AH17" s="168">
        <f t="shared" si="18"/>
        <v>0</v>
      </c>
      <c r="AI17" s="168">
        <f t="shared" si="18"/>
        <v>70170</v>
      </c>
      <c r="AJ17" s="168">
        <f t="shared" si="18"/>
        <v>0</v>
      </c>
      <c r="AK17" s="168">
        <f t="shared" si="18"/>
        <v>0</v>
      </c>
      <c r="AL17" s="168">
        <f t="shared" si="18"/>
        <v>0</v>
      </c>
      <c r="AM17" s="168">
        <f t="shared" si="18"/>
        <v>0</v>
      </c>
      <c r="AN17" s="168">
        <f t="shared" si="18"/>
        <v>0</v>
      </c>
      <c r="AO17" s="168">
        <f t="shared" si="18"/>
        <v>0</v>
      </c>
      <c r="AP17" s="168">
        <f t="shared" si="18"/>
        <v>0</v>
      </c>
      <c r="AQ17" s="170"/>
      <c r="AR17" s="171">
        <f t="shared" si="5"/>
        <v>112054.0001</v>
      </c>
      <c r="AT17" s="166">
        <f t="shared" si="6"/>
        <v>2012</v>
      </c>
      <c r="AU17" s="166">
        <f t="shared" si="7"/>
        <v>0</v>
      </c>
      <c r="AV17" s="166">
        <v>100</v>
      </c>
      <c r="AW17" s="241">
        <f t="shared" si="8"/>
        <v>0</v>
      </c>
      <c r="AX17" s="166">
        <f t="shared" si="9"/>
        <v>0</v>
      </c>
      <c r="AY17" s="166">
        <f t="shared" si="10"/>
        <v>1</v>
      </c>
      <c r="AZ17" s="242">
        <f t="shared" si="11"/>
        <v>0</v>
      </c>
      <c r="BA17" s="234">
        <f t="shared" si="12"/>
        <v>1</v>
      </c>
      <c r="BB17" s="235">
        <f t="shared" si="13"/>
        <v>0</v>
      </c>
      <c r="BC17" s="235">
        <f t="shared" si="14"/>
        <v>0</v>
      </c>
      <c r="BD17" s="236">
        <f t="shared" si="15"/>
        <v>0</v>
      </c>
    </row>
    <row r="18" spans="1:56" s="163" customFormat="1" ht="16.25" customHeight="1">
      <c r="A18" s="163" t="s">
        <v>234</v>
      </c>
      <c r="B18" s="163" t="s">
        <v>295</v>
      </c>
      <c r="C18" s="180" t="s">
        <v>183</v>
      </c>
      <c r="D18" s="165">
        <v>1</v>
      </c>
      <c r="E18" s="200">
        <f>HVAC1IndoorCoilCostYear</f>
        <v>2018</v>
      </c>
      <c r="F18" s="204">
        <f>D18*HVAC1IndoorCoilUnitcost</f>
        <v>15445</v>
      </c>
      <c r="G18" s="181">
        <v>0</v>
      </c>
      <c r="H18" s="206">
        <f t="shared" si="1"/>
        <v>16545.070124999998</v>
      </c>
      <c r="I18" s="166">
        <v>2012</v>
      </c>
      <c r="J18" s="166">
        <v>-3</v>
      </c>
      <c r="K18" s="177">
        <f>HVAC1IndoorCoilLife</f>
        <v>15</v>
      </c>
      <c r="L18" s="169" t="s">
        <v>444</v>
      </c>
      <c r="M18" s="168">
        <f t="shared" si="16"/>
        <v>0</v>
      </c>
      <c r="N18" s="168">
        <f t="shared" si="16"/>
        <v>0</v>
      </c>
      <c r="O18" s="168">
        <f t="shared" si="16"/>
        <v>0</v>
      </c>
      <c r="P18" s="168">
        <f t="shared" si="16"/>
        <v>0</v>
      </c>
      <c r="Q18" s="168">
        <f t="shared" si="16"/>
        <v>18986</v>
      </c>
      <c r="R18" s="168">
        <f t="shared" si="16"/>
        <v>0</v>
      </c>
      <c r="S18" s="168">
        <f t="shared" si="16"/>
        <v>0</v>
      </c>
      <c r="T18" s="168">
        <f t="shared" si="16"/>
        <v>0</v>
      </c>
      <c r="U18" s="168">
        <f t="shared" si="16"/>
        <v>0</v>
      </c>
      <c r="V18" s="168">
        <f t="shared" si="16"/>
        <v>0</v>
      </c>
      <c r="W18" s="168">
        <f t="shared" si="17"/>
        <v>0</v>
      </c>
      <c r="X18" s="168">
        <f t="shared" si="17"/>
        <v>0</v>
      </c>
      <c r="Y18" s="168">
        <f t="shared" si="17"/>
        <v>0</v>
      </c>
      <c r="Z18" s="168">
        <f t="shared" si="17"/>
        <v>0</v>
      </c>
      <c r="AA18" s="168">
        <f t="shared" si="17"/>
        <v>0</v>
      </c>
      <c r="AB18" s="168">
        <f t="shared" si="17"/>
        <v>0</v>
      </c>
      <c r="AC18" s="168">
        <f t="shared" si="17"/>
        <v>0</v>
      </c>
      <c r="AD18" s="168">
        <f t="shared" si="17"/>
        <v>0</v>
      </c>
      <c r="AE18" s="168">
        <f t="shared" si="17"/>
        <v>0</v>
      </c>
      <c r="AF18" s="168">
        <f t="shared" si="17"/>
        <v>31808</v>
      </c>
      <c r="AG18" s="168">
        <f t="shared" si="18"/>
        <v>0</v>
      </c>
      <c r="AH18" s="168">
        <f t="shared" si="18"/>
        <v>0</v>
      </c>
      <c r="AI18" s="168">
        <f t="shared" si="18"/>
        <v>0</v>
      </c>
      <c r="AJ18" s="168">
        <f t="shared" si="18"/>
        <v>0</v>
      </c>
      <c r="AK18" s="168">
        <f t="shared" si="18"/>
        <v>0</v>
      </c>
      <c r="AL18" s="168">
        <f t="shared" si="18"/>
        <v>0</v>
      </c>
      <c r="AM18" s="168">
        <f t="shared" si="18"/>
        <v>0</v>
      </c>
      <c r="AN18" s="168">
        <f t="shared" si="18"/>
        <v>0</v>
      </c>
      <c r="AO18" s="168">
        <f t="shared" si="18"/>
        <v>0</v>
      </c>
      <c r="AP18" s="168">
        <f t="shared" si="18"/>
        <v>0</v>
      </c>
      <c r="AQ18" s="170"/>
      <c r="AR18" s="171">
        <f t="shared" si="5"/>
        <v>50794.000099999997</v>
      </c>
      <c r="AT18" s="166">
        <f t="shared" si="6"/>
        <v>2012</v>
      </c>
      <c r="AU18" s="166">
        <f t="shared" si="7"/>
        <v>-3</v>
      </c>
      <c r="AV18" s="166">
        <v>100</v>
      </c>
      <c r="AW18" s="241">
        <f t="shared" si="8"/>
        <v>0</v>
      </c>
      <c r="AX18" s="166">
        <f t="shared" si="9"/>
        <v>0</v>
      </c>
      <c r="AY18" s="166">
        <f t="shared" si="10"/>
        <v>1</v>
      </c>
      <c r="AZ18" s="242">
        <f t="shared" si="11"/>
        <v>0</v>
      </c>
      <c r="BA18" s="234">
        <f t="shared" si="12"/>
        <v>1</v>
      </c>
      <c r="BB18" s="235">
        <f t="shared" si="13"/>
        <v>0</v>
      </c>
      <c r="BC18" s="235">
        <f t="shared" si="14"/>
        <v>0</v>
      </c>
      <c r="BD18" s="236">
        <f t="shared" si="15"/>
        <v>0</v>
      </c>
    </row>
    <row r="19" spans="1:56" s="163" customFormat="1" ht="16.25" customHeight="1">
      <c r="A19" s="163" t="s">
        <v>234</v>
      </c>
      <c r="B19" s="163" t="s">
        <v>295</v>
      </c>
      <c r="C19" s="180" t="s">
        <v>185</v>
      </c>
      <c r="D19" s="165">
        <v>1</v>
      </c>
      <c r="E19" s="200">
        <f>HVACBoiler2Coilcostyear</f>
        <v>2018</v>
      </c>
      <c r="F19" s="204">
        <f>D19*HVACBoiler2Coil</f>
        <v>6587</v>
      </c>
      <c r="G19" s="181">
        <v>0</v>
      </c>
      <c r="H19" s="206">
        <f t="shared" si="1"/>
        <v>7056.1590749999996</v>
      </c>
      <c r="I19" s="166">
        <v>2012</v>
      </c>
      <c r="J19" s="166"/>
      <c r="K19" s="177">
        <f>HVACBoiler2CoilLife</f>
        <v>15</v>
      </c>
      <c r="L19" s="169" t="s">
        <v>444</v>
      </c>
      <c r="M19" s="168">
        <f t="shared" si="16"/>
        <v>0</v>
      </c>
      <c r="N19" s="168">
        <f t="shared" si="16"/>
        <v>0</v>
      </c>
      <c r="O19" s="168">
        <f t="shared" si="16"/>
        <v>0</v>
      </c>
      <c r="P19" s="168">
        <f t="shared" si="16"/>
        <v>0</v>
      </c>
      <c r="Q19" s="168">
        <f t="shared" si="16"/>
        <v>0</v>
      </c>
      <c r="R19" s="168">
        <f t="shared" si="16"/>
        <v>0</v>
      </c>
      <c r="S19" s="168">
        <f t="shared" si="16"/>
        <v>0</v>
      </c>
      <c r="T19" s="168">
        <f t="shared" si="16"/>
        <v>8977</v>
      </c>
      <c r="U19" s="168">
        <f t="shared" si="16"/>
        <v>0</v>
      </c>
      <c r="V19" s="168">
        <f t="shared" si="16"/>
        <v>0</v>
      </c>
      <c r="W19" s="168">
        <f t="shared" si="17"/>
        <v>0</v>
      </c>
      <c r="X19" s="168">
        <f t="shared" si="17"/>
        <v>0</v>
      </c>
      <c r="Y19" s="168">
        <f t="shared" si="17"/>
        <v>0</v>
      </c>
      <c r="Z19" s="168">
        <f t="shared" si="17"/>
        <v>0</v>
      </c>
      <c r="AA19" s="168">
        <f t="shared" si="17"/>
        <v>0</v>
      </c>
      <c r="AB19" s="168">
        <f t="shared" si="17"/>
        <v>0</v>
      </c>
      <c r="AC19" s="168">
        <f t="shared" si="17"/>
        <v>0</v>
      </c>
      <c r="AD19" s="168">
        <f t="shared" si="17"/>
        <v>0</v>
      </c>
      <c r="AE19" s="168">
        <f t="shared" si="17"/>
        <v>0</v>
      </c>
      <c r="AF19" s="168">
        <f t="shared" si="17"/>
        <v>0</v>
      </c>
      <c r="AG19" s="168">
        <f t="shared" si="18"/>
        <v>0</v>
      </c>
      <c r="AH19" s="168">
        <f t="shared" si="18"/>
        <v>0</v>
      </c>
      <c r="AI19" s="168">
        <f t="shared" si="18"/>
        <v>15040</v>
      </c>
      <c r="AJ19" s="168">
        <f t="shared" si="18"/>
        <v>0</v>
      </c>
      <c r="AK19" s="168">
        <f t="shared" si="18"/>
        <v>0</v>
      </c>
      <c r="AL19" s="168">
        <f t="shared" si="18"/>
        <v>0</v>
      </c>
      <c r="AM19" s="168">
        <f t="shared" si="18"/>
        <v>0</v>
      </c>
      <c r="AN19" s="168">
        <f t="shared" si="18"/>
        <v>0</v>
      </c>
      <c r="AO19" s="168">
        <f t="shared" si="18"/>
        <v>0</v>
      </c>
      <c r="AP19" s="168">
        <f t="shared" si="18"/>
        <v>0</v>
      </c>
      <c r="AQ19" s="170"/>
      <c r="AR19" s="171">
        <f t="shared" si="5"/>
        <v>24017.000100000001</v>
      </c>
      <c r="AT19" s="166">
        <f t="shared" si="6"/>
        <v>2012</v>
      </c>
      <c r="AU19" s="166">
        <f t="shared" si="7"/>
        <v>0</v>
      </c>
      <c r="AV19" s="166">
        <v>100</v>
      </c>
      <c r="AW19" s="241">
        <f t="shared" si="8"/>
        <v>0</v>
      </c>
      <c r="AX19" s="166">
        <f t="shared" si="9"/>
        <v>0</v>
      </c>
      <c r="AY19" s="166">
        <f t="shared" si="10"/>
        <v>1</v>
      </c>
      <c r="AZ19" s="242">
        <f t="shared" si="11"/>
        <v>0</v>
      </c>
      <c r="BA19" s="234">
        <f t="shared" si="12"/>
        <v>1</v>
      </c>
      <c r="BB19" s="235">
        <f t="shared" si="13"/>
        <v>0</v>
      </c>
      <c r="BC19" s="235">
        <f t="shared" si="14"/>
        <v>0</v>
      </c>
      <c r="BD19" s="236">
        <f t="shared" si="15"/>
        <v>0</v>
      </c>
    </row>
    <row r="20" spans="1:56" s="163" customFormat="1" ht="16.25" customHeight="1">
      <c r="A20" s="163" t="s">
        <v>234</v>
      </c>
      <c r="B20" s="163" t="s">
        <v>295</v>
      </c>
      <c r="C20" s="180" t="s">
        <v>356</v>
      </c>
      <c r="D20" s="165">
        <v>1</v>
      </c>
      <c r="E20" s="200">
        <f>(boilerrendezvouscostyear)</f>
        <v>2012</v>
      </c>
      <c r="F20" s="204">
        <f>D20*boilerrendezvousunitcost</f>
        <v>25000</v>
      </c>
      <c r="G20" s="181">
        <v>0</v>
      </c>
      <c r="H20" s="206">
        <f t="shared" si="1"/>
        <v>32920.225924085069</v>
      </c>
      <c r="I20" s="166">
        <v>2012</v>
      </c>
      <c r="J20" s="166"/>
      <c r="K20" s="177">
        <f>boilerrendezvouslife</f>
        <v>15</v>
      </c>
      <c r="L20" s="169" t="s">
        <v>444</v>
      </c>
      <c r="M20" s="168">
        <f t="shared" si="16"/>
        <v>0</v>
      </c>
      <c r="N20" s="168">
        <f t="shared" si="16"/>
        <v>0</v>
      </c>
      <c r="O20" s="168">
        <f t="shared" si="16"/>
        <v>0</v>
      </c>
      <c r="P20" s="168">
        <f t="shared" si="16"/>
        <v>0</v>
      </c>
      <c r="Q20" s="168">
        <f t="shared" si="16"/>
        <v>0</v>
      </c>
      <c r="R20" s="168">
        <f t="shared" si="16"/>
        <v>0</v>
      </c>
      <c r="S20" s="168">
        <f t="shared" si="16"/>
        <v>0</v>
      </c>
      <c r="T20" s="168">
        <f t="shared" si="16"/>
        <v>41884</v>
      </c>
      <c r="U20" s="168">
        <f t="shared" si="16"/>
        <v>0</v>
      </c>
      <c r="V20" s="168">
        <f t="shared" si="16"/>
        <v>0</v>
      </c>
      <c r="W20" s="168">
        <f t="shared" si="17"/>
        <v>0</v>
      </c>
      <c r="X20" s="168">
        <f t="shared" si="17"/>
        <v>0</v>
      </c>
      <c r="Y20" s="168">
        <f t="shared" si="17"/>
        <v>0</v>
      </c>
      <c r="Z20" s="168">
        <f t="shared" si="17"/>
        <v>0</v>
      </c>
      <c r="AA20" s="168">
        <f t="shared" si="17"/>
        <v>0</v>
      </c>
      <c r="AB20" s="168">
        <f t="shared" si="17"/>
        <v>0</v>
      </c>
      <c r="AC20" s="168">
        <f t="shared" si="17"/>
        <v>0</v>
      </c>
      <c r="AD20" s="168">
        <f t="shared" si="17"/>
        <v>0</v>
      </c>
      <c r="AE20" s="168">
        <f t="shared" si="17"/>
        <v>0</v>
      </c>
      <c r="AF20" s="168">
        <f t="shared" si="17"/>
        <v>0</v>
      </c>
      <c r="AG20" s="168">
        <f t="shared" si="18"/>
        <v>0</v>
      </c>
      <c r="AH20" s="168">
        <f t="shared" si="18"/>
        <v>0</v>
      </c>
      <c r="AI20" s="168">
        <f t="shared" si="18"/>
        <v>70170</v>
      </c>
      <c r="AJ20" s="168">
        <f t="shared" si="18"/>
        <v>0</v>
      </c>
      <c r="AK20" s="168">
        <f t="shared" si="18"/>
        <v>0</v>
      </c>
      <c r="AL20" s="168">
        <f t="shared" si="18"/>
        <v>0</v>
      </c>
      <c r="AM20" s="168">
        <f t="shared" si="18"/>
        <v>0</v>
      </c>
      <c r="AN20" s="168">
        <f t="shared" si="18"/>
        <v>0</v>
      </c>
      <c r="AO20" s="168">
        <f t="shared" si="18"/>
        <v>0</v>
      </c>
      <c r="AP20" s="168">
        <f t="shared" si="18"/>
        <v>0</v>
      </c>
      <c r="AQ20" s="170"/>
      <c r="AR20" s="171">
        <f t="shared" si="5"/>
        <v>112054.0001</v>
      </c>
      <c r="AT20" s="166">
        <f t="shared" si="6"/>
        <v>2012</v>
      </c>
      <c r="AU20" s="166">
        <f t="shared" si="7"/>
        <v>0</v>
      </c>
      <c r="AV20" s="166">
        <v>100</v>
      </c>
      <c r="AW20" s="241">
        <f t="shared" si="8"/>
        <v>0</v>
      </c>
      <c r="AX20" s="166">
        <f t="shared" si="9"/>
        <v>0</v>
      </c>
      <c r="AY20" s="166">
        <f t="shared" si="10"/>
        <v>1</v>
      </c>
      <c r="AZ20" s="242">
        <f t="shared" si="11"/>
        <v>0</v>
      </c>
      <c r="BA20" s="234">
        <f t="shared" si="12"/>
        <v>1</v>
      </c>
      <c r="BB20" s="235">
        <f t="shared" si="13"/>
        <v>0</v>
      </c>
      <c r="BC20" s="235">
        <f t="shared" si="14"/>
        <v>0</v>
      </c>
      <c r="BD20" s="236">
        <f t="shared" si="15"/>
        <v>0</v>
      </c>
    </row>
    <row r="21" spans="1:56" s="163" customFormat="1" ht="16.25" customHeight="1">
      <c r="A21" s="163" t="s">
        <v>234</v>
      </c>
      <c r="B21" s="163" t="s">
        <v>295</v>
      </c>
      <c r="C21" s="180" t="s">
        <v>357</v>
      </c>
      <c r="D21" s="165">
        <v>1</v>
      </c>
      <c r="E21" s="200">
        <f>boilerclubcostyear</f>
        <v>2012</v>
      </c>
      <c r="F21" s="204">
        <f>D21*boilerclubunitcost</f>
        <v>25000</v>
      </c>
      <c r="G21" s="181">
        <v>0</v>
      </c>
      <c r="H21" s="206">
        <f t="shared" si="1"/>
        <v>32920.225924085069</v>
      </c>
      <c r="I21" s="166">
        <v>2012</v>
      </c>
      <c r="J21" s="166"/>
      <c r="K21" s="177">
        <f>boilerclublife</f>
        <v>15</v>
      </c>
      <c r="L21" s="169" t="s">
        <v>444</v>
      </c>
      <c r="M21" s="168">
        <f t="shared" si="16"/>
        <v>0</v>
      </c>
      <c r="N21" s="168">
        <f t="shared" si="16"/>
        <v>0</v>
      </c>
      <c r="O21" s="168">
        <f t="shared" si="16"/>
        <v>0</v>
      </c>
      <c r="P21" s="168">
        <f t="shared" si="16"/>
        <v>0</v>
      </c>
      <c r="Q21" s="168">
        <f t="shared" si="16"/>
        <v>0</v>
      </c>
      <c r="R21" s="168">
        <f t="shared" si="16"/>
        <v>0</v>
      </c>
      <c r="S21" s="168">
        <f t="shared" si="16"/>
        <v>0</v>
      </c>
      <c r="T21" s="168">
        <f t="shared" si="16"/>
        <v>41884</v>
      </c>
      <c r="U21" s="168">
        <f t="shared" si="16"/>
        <v>0</v>
      </c>
      <c r="V21" s="168">
        <f t="shared" si="16"/>
        <v>0</v>
      </c>
      <c r="W21" s="168">
        <f t="shared" si="17"/>
        <v>0</v>
      </c>
      <c r="X21" s="168">
        <f t="shared" si="17"/>
        <v>0</v>
      </c>
      <c r="Y21" s="168">
        <f t="shared" si="17"/>
        <v>0</v>
      </c>
      <c r="Z21" s="168">
        <f t="shared" si="17"/>
        <v>0</v>
      </c>
      <c r="AA21" s="168">
        <f t="shared" si="17"/>
        <v>0</v>
      </c>
      <c r="AB21" s="168">
        <f t="shared" si="17"/>
        <v>0</v>
      </c>
      <c r="AC21" s="168">
        <f t="shared" si="17"/>
        <v>0</v>
      </c>
      <c r="AD21" s="168">
        <f t="shared" si="17"/>
        <v>0</v>
      </c>
      <c r="AE21" s="168">
        <f t="shared" si="17"/>
        <v>0</v>
      </c>
      <c r="AF21" s="168">
        <f t="shared" si="17"/>
        <v>0</v>
      </c>
      <c r="AG21" s="168">
        <f t="shared" si="18"/>
        <v>0</v>
      </c>
      <c r="AH21" s="168">
        <f t="shared" si="18"/>
        <v>0</v>
      </c>
      <c r="AI21" s="168">
        <f t="shared" si="18"/>
        <v>70170</v>
      </c>
      <c r="AJ21" s="168">
        <f t="shared" si="18"/>
        <v>0</v>
      </c>
      <c r="AK21" s="168">
        <f t="shared" si="18"/>
        <v>0</v>
      </c>
      <c r="AL21" s="168">
        <f t="shared" si="18"/>
        <v>0</v>
      </c>
      <c r="AM21" s="168">
        <f t="shared" si="18"/>
        <v>0</v>
      </c>
      <c r="AN21" s="168">
        <f t="shared" si="18"/>
        <v>0</v>
      </c>
      <c r="AO21" s="168">
        <f t="shared" si="18"/>
        <v>0</v>
      </c>
      <c r="AP21" s="168">
        <f t="shared" si="18"/>
        <v>0</v>
      </c>
      <c r="AQ21" s="170"/>
      <c r="AR21" s="171">
        <f t="shared" si="5"/>
        <v>112054.0001</v>
      </c>
      <c r="AT21" s="166">
        <f t="shared" si="6"/>
        <v>2012</v>
      </c>
      <c r="AU21" s="166">
        <f t="shared" si="7"/>
        <v>0</v>
      </c>
      <c r="AV21" s="166">
        <v>100</v>
      </c>
      <c r="AW21" s="241">
        <f t="shared" si="8"/>
        <v>0</v>
      </c>
      <c r="AX21" s="166">
        <f t="shared" si="9"/>
        <v>0</v>
      </c>
      <c r="AY21" s="166">
        <f t="shared" si="10"/>
        <v>1</v>
      </c>
      <c r="AZ21" s="242">
        <f t="shared" si="11"/>
        <v>0</v>
      </c>
      <c r="BA21" s="234">
        <f t="shared" si="12"/>
        <v>1</v>
      </c>
      <c r="BB21" s="235">
        <f t="shared" si="13"/>
        <v>0</v>
      </c>
      <c r="BC21" s="235">
        <f t="shared" si="14"/>
        <v>0</v>
      </c>
      <c r="BD21" s="236">
        <f t="shared" si="15"/>
        <v>0</v>
      </c>
    </row>
    <row r="22" spans="1:56" s="163" customFormat="1" ht="16.25" customHeight="1">
      <c r="A22" s="163" t="s">
        <v>234</v>
      </c>
      <c r="B22" s="163" t="s">
        <v>295</v>
      </c>
      <c r="C22" s="180" t="s">
        <v>123</v>
      </c>
      <c r="D22" s="165">
        <v>1</v>
      </c>
      <c r="E22" s="201">
        <f>Returnairunit1costyear</f>
        <v>2012</v>
      </c>
      <c r="F22" s="205">
        <f>D22*Returnairunit1unitcost</f>
        <v>74250</v>
      </c>
      <c r="G22" s="181">
        <v>0</v>
      </c>
      <c r="H22" s="206">
        <f t="shared" si="1"/>
        <v>97773.070994532667</v>
      </c>
      <c r="I22" s="166">
        <v>2012</v>
      </c>
      <c r="J22" s="166"/>
      <c r="K22" s="177">
        <f>Returnairunit1life</f>
        <v>15</v>
      </c>
      <c r="L22" s="169" t="s">
        <v>444</v>
      </c>
      <c r="M22" s="168">
        <f t="shared" si="16"/>
        <v>0</v>
      </c>
      <c r="N22" s="168">
        <f t="shared" si="16"/>
        <v>0</v>
      </c>
      <c r="O22" s="168">
        <f t="shared" si="16"/>
        <v>0</v>
      </c>
      <c r="P22" s="168">
        <f t="shared" si="16"/>
        <v>0</v>
      </c>
      <c r="Q22" s="168">
        <f t="shared" si="16"/>
        <v>0</v>
      </c>
      <c r="R22" s="168">
        <f t="shared" si="16"/>
        <v>0</v>
      </c>
      <c r="S22" s="168">
        <f t="shared" si="16"/>
        <v>0</v>
      </c>
      <c r="T22" s="168">
        <f t="shared" si="16"/>
        <v>124395</v>
      </c>
      <c r="U22" s="168">
        <f t="shared" si="16"/>
        <v>0</v>
      </c>
      <c r="V22" s="168">
        <f t="shared" si="16"/>
        <v>0</v>
      </c>
      <c r="W22" s="168">
        <f t="shared" si="17"/>
        <v>0</v>
      </c>
      <c r="X22" s="168">
        <f t="shared" si="17"/>
        <v>0</v>
      </c>
      <c r="Y22" s="168">
        <f t="shared" si="17"/>
        <v>0</v>
      </c>
      <c r="Z22" s="168">
        <f t="shared" si="17"/>
        <v>0</v>
      </c>
      <c r="AA22" s="168">
        <f t="shared" si="17"/>
        <v>0</v>
      </c>
      <c r="AB22" s="168">
        <f t="shared" si="17"/>
        <v>0</v>
      </c>
      <c r="AC22" s="168">
        <f t="shared" si="17"/>
        <v>0</v>
      </c>
      <c r="AD22" s="168">
        <f t="shared" si="17"/>
        <v>0</v>
      </c>
      <c r="AE22" s="168">
        <f t="shared" si="17"/>
        <v>0</v>
      </c>
      <c r="AF22" s="168">
        <f t="shared" si="17"/>
        <v>0</v>
      </c>
      <c r="AG22" s="168">
        <f t="shared" si="18"/>
        <v>0</v>
      </c>
      <c r="AH22" s="168">
        <f t="shared" si="18"/>
        <v>0</v>
      </c>
      <c r="AI22" s="168">
        <f t="shared" si="18"/>
        <v>208404</v>
      </c>
      <c r="AJ22" s="168">
        <f t="shared" si="18"/>
        <v>0</v>
      </c>
      <c r="AK22" s="168">
        <f t="shared" si="18"/>
        <v>0</v>
      </c>
      <c r="AL22" s="168">
        <f t="shared" si="18"/>
        <v>0</v>
      </c>
      <c r="AM22" s="168">
        <f t="shared" si="18"/>
        <v>0</v>
      </c>
      <c r="AN22" s="168">
        <f t="shared" si="18"/>
        <v>0</v>
      </c>
      <c r="AO22" s="168">
        <f t="shared" si="18"/>
        <v>0</v>
      </c>
      <c r="AP22" s="168">
        <f t="shared" si="18"/>
        <v>0</v>
      </c>
      <c r="AQ22" s="170"/>
      <c r="AR22" s="171">
        <f t="shared" si="5"/>
        <v>332799.0001</v>
      </c>
      <c r="AT22" s="166">
        <f t="shared" si="6"/>
        <v>2012</v>
      </c>
      <c r="AU22" s="166">
        <f t="shared" si="7"/>
        <v>0</v>
      </c>
      <c r="AV22" s="166">
        <v>100</v>
      </c>
      <c r="AW22" s="241">
        <f t="shared" si="8"/>
        <v>0</v>
      </c>
      <c r="AX22" s="166">
        <f t="shared" si="9"/>
        <v>0</v>
      </c>
      <c r="AY22" s="166">
        <f t="shared" si="10"/>
        <v>1</v>
      </c>
      <c r="AZ22" s="242">
        <f t="shared" si="11"/>
        <v>0</v>
      </c>
      <c r="BA22" s="234">
        <f t="shared" si="12"/>
        <v>1</v>
      </c>
      <c r="BB22" s="235">
        <f t="shared" si="13"/>
        <v>0</v>
      </c>
      <c r="BC22" s="235">
        <f t="shared" si="14"/>
        <v>0</v>
      </c>
      <c r="BD22" s="236">
        <f t="shared" si="15"/>
        <v>0</v>
      </c>
    </row>
    <row r="23" spans="1:56" s="163" customFormat="1" ht="16.25" customHeight="1">
      <c r="A23" s="163" t="s">
        <v>234</v>
      </c>
      <c r="B23" s="163" t="s">
        <v>295</v>
      </c>
      <c r="C23" s="180" t="s">
        <v>122</v>
      </c>
      <c r="D23" s="165">
        <v>1</v>
      </c>
      <c r="E23" s="201">
        <f>Returnairunit2costyear</f>
        <v>2015</v>
      </c>
      <c r="F23" s="205">
        <f>D23*Returnairunit2unitcost</f>
        <v>29700</v>
      </c>
      <c r="G23" s="183">
        <v>0</v>
      </c>
      <c r="H23" s="206">
        <f t="shared" si="1"/>
        <v>35274.283277712173</v>
      </c>
      <c r="I23" s="166">
        <v>2012</v>
      </c>
      <c r="J23" s="166"/>
      <c r="K23" s="177">
        <f>Returnairunit2life</f>
        <v>15</v>
      </c>
      <c r="L23" s="169" t="s">
        <v>444</v>
      </c>
      <c r="M23" s="168">
        <f t="shared" ref="M23:V32" si="19">ROUND($H23*IF(AND(M$1&gt;=($I23+$J23),MOD(M$1-($I23+$J23),$K23)=0),(1+InflationRate)^(M$1-AnalysisYear),0),0)*IF(AND(M$1&gt;=($AT23+$AU23),(M$1-($AT23+$AU23))&lt;&gt;0,MOD(M$1-($AT23+$AU23),$AV23)=0),0,1)</f>
        <v>0</v>
      </c>
      <c r="N23" s="168">
        <f t="shared" si="19"/>
        <v>0</v>
      </c>
      <c r="O23" s="168">
        <f t="shared" si="19"/>
        <v>0</v>
      </c>
      <c r="P23" s="168">
        <f t="shared" si="19"/>
        <v>0</v>
      </c>
      <c r="Q23" s="168">
        <f t="shared" si="19"/>
        <v>0</v>
      </c>
      <c r="R23" s="168">
        <f t="shared" si="19"/>
        <v>0</v>
      </c>
      <c r="S23" s="168">
        <f t="shared" si="19"/>
        <v>0</v>
      </c>
      <c r="T23" s="168">
        <f t="shared" si="19"/>
        <v>44879</v>
      </c>
      <c r="U23" s="168">
        <f t="shared" si="19"/>
        <v>0</v>
      </c>
      <c r="V23" s="168">
        <f t="shared" si="19"/>
        <v>0</v>
      </c>
      <c r="W23" s="168">
        <f t="shared" ref="W23:AF32" si="20">ROUND($H23*IF(AND(W$1&gt;=($I23+$J23),MOD(W$1-($I23+$J23),$K23)=0),(1+InflationRate)^(W$1-AnalysisYear),0),0)*IF(AND(W$1&gt;=($AT23+$AU23),(W$1-($AT23+$AU23))&lt;&gt;0,MOD(W$1-($AT23+$AU23),$AV23)=0),0,1)</f>
        <v>0</v>
      </c>
      <c r="X23" s="168">
        <f t="shared" si="20"/>
        <v>0</v>
      </c>
      <c r="Y23" s="168">
        <f t="shared" si="20"/>
        <v>0</v>
      </c>
      <c r="Z23" s="168">
        <f t="shared" si="20"/>
        <v>0</v>
      </c>
      <c r="AA23" s="168">
        <f t="shared" si="20"/>
        <v>0</v>
      </c>
      <c r="AB23" s="168">
        <f t="shared" si="20"/>
        <v>0</v>
      </c>
      <c r="AC23" s="168">
        <f t="shared" si="20"/>
        <v>0</v>
      </c>
      <c r="AD23" s="168">
        <f t="shared" si="20"/>
        <v>0</v>
      </c>
      <c r="AE23" s="168">
        <f t="shared" si="20"/>
        <v>0</v>
      </c>
      <c r="AF23" s="168">
        <f t="shared" si="20"/>
        <v>0</v>
      </c>
      <c r="AG23" s="168">
        <f t="shared" ref="AG23:AP32" si="21">ROUND($H23*IF(AND(AG$1&gt;=($I23+$J23),MOD(AG$1-($I23+$J23),$K23)=0),(1+InflationRate)^(AG$1-AnalysisYear),0),0)*IF(AND(AG$1&gt;=($AT23+$AU23),(AG$1-($AT23+$AU23))&lt;&gt;0,MOD(AG$1-($AT23+$AU23),$AV23)=0),0,1)</f>
        <v>0</v>
      </c>
      <c r="AH23" s="168">
        <f t="shared" si="21"/>
        <v>0</v>
      </c>
      <c r="AI23" s="168">
        <f t="shared" si="21"/>
        <v>75188</v>
      </c>
      <c r="AJ23" s="168">
        <f t="shared" si="21"/>
        <v>0</v>
      </c>
      <c r="AK23" s="168">
        <f t="shared" si="21"/>
        <v>0</v>
      </c>
      <c r="AL23" s="168">
        <f t="shared" si="21"/>
        <v>0</v>
      </c>
      <c r="AM23" s="168">
        <f t="shared" si="21"/>
        <v>0</v>
      </c>
      <c r="AN23" s="168">
        <f t="shared" si="21"/>
        <v>0</v>
      </c>
      <c r="AO23" s="168">
        <f t="shared" si="21"/>
        <v>0</v>
      </c>
      <c r="AP23" s="168">
        <f t="shared" si="21"/>
        <v>0</v>
      </c>
      <c r="AQ23" s="170"/>
      <c r="AR23" s="171">
        <f t="shared" si="5"/>
        <v>120067.0001</v>
      </c>
      <c r="AT23" s="166">
        <f t="shared" si="6"/>
        <v>2012</v>
      </c>
      <c r="AU23" s="166">
        <f t="shared" si="7"/>
        <v>0</v>
      </c>
      <c r="AV23" s="166">
        <v>100</v>
      </c>
      <c r="AW23" s="241">
        <f t="shared" si="8"/>
        <v>0</v>
      </c>
      <c r="AX23" s="166">
        <f t="shared" si="9"/>
        <v>0</v>
      </c>
      <c r="AY23" s="166">
        <f t="shared" si="10"/>
        <v>1</v>
      </c>
      <c r="AZ23" s="242">
        <f t="shared" si="11"/>
        <v>0</v>
      </c>
      <c r="BA23" s="234">
        <f t="shared" si="12"/>
        <v>1</v>
      </c>
      <c r="BB23" s="235">
        <f t="shared" si="13"/>
        <v>0</v>
      </c>
      <c r="BC23" s="235">
        <f t="shared" si="14"/>
        <v>0</v>
      </c>
      <c r="BD23" s="236">
        <f t="shared" si="15"/>
        <v>0</v>
      </c>
    </row>
    <row r="24" spans="1:56" s="163" customFormat="1" ht="16.25" customHeight="1">
      <c r="A24" s="163" t="s">
        <v>234</v>
      </c>
      <c r="B24" s="163" t="s">
        <v>295</v>
      </c>
      <c r="C24" s="180" t="s">
        <v>194</v>
      </c>
      <c r="D24" s="165">
        <v>1</v>
      </c>
      <c r="E24" s="200">
        <f>RTU2BlowerMotorCostYear</f>
        <v>2018</v>
      </c>
      <c r="F24" s="204">
        <f>D24*RTU2BlowerMotorUnitCost</f>
        <v>7684</v>
      </c>
      <c r="G24" s="181">
        <v>0</v>
      </c>
      <c r="H24" s="206">
        <f t="shared" si="1"/>
        <v>8231.2928999999986</v>
      </c>
      <c r="I24" s="166">
        <v>2012</v>
      </c>
      <c r="J24" s="166"/>
      <c r="K24" s="177">
        <f>RTU2BlowerMotorLife</f>
        <v>15</v>
      </c>
      <c r="L24" s="169" t="s">
        <v>444</v>
      </c>
      <c r="M24" s="168">
        <f t="shared" si="19"/>
        <v>0</v>
      </c>
      <c r="N24" s="168">
        <f t="shared" si="19"/>
        <v>0</v>
      </c>
      <c r="O24" s="168">
        <f t="shared" si="19"/>
        <v>0</v>
      </c>
      <c r="P24" s="168">
        <f t="shared" si="19"/>
        <v>0</v>
      </c>
      <c r="Q24" s="168">
        <f t="shared" si="19"/>
        <v>0</v>
      </c>
      <c r="R24" s="168">
        <f t="shared" si="19"/>
        <v>0</v>
      </c>
      <c r="S24" s="168">
        <f t="shared" si="19"/>
        <v>0</v>
      </c>
      <c r="T24" s="168">
        <f t="shared" si="19"/>
        <v>10473</v>
      </c>
      <c r="U24" s="168">
        <f t="shared" si="19"/>
        <v>0</v>
      </c>
      <c r="V24" s="168">
        <f t="shared" si="19"/>
        <v>0</v>
      </c>
      <c r="W24" s="168">
        <f t="shared" si="20"/>
        <v>0</v>
      </c>
      <c r="X24" s="168">
        <f t="shared" si="20"/>
        <v>0</v>
      </c>
      <c r="Y24" s="168">
        <f t="shared" si="20"/>
        <v>0</v>
      </c>
      <c r="Z24" s="168">
        <f t="shared" si="20"/>
        <v>0</v>
      </c>
      <c r="AA24" s="168">
        <f t="shared" si="20"/>
        <v>0</v>
      </c>
      <c r="AB24" s="168">
        <f t="shared" si="20"/>
        <v>0</v>
      </c>
      <c r="AC24" s="168">
        <f t="shared" si="20"/>
        <v>0</v>
      </c>
      <c r="AD24" s="168">
        <f t="shared" si="20"/>
        <v>0</v>
      </c>
      <c r="AE24" s="168">
        <f t="shared" si="20"/>
        <v>0</v>
      </c>
      <c r="AF24" s="168">
        <f t="shared" si="20"/>
        <v>0</v>
      </c>
      <c r="AG24" s="168">
        <f t="shared" si="21"/>
        <v>0</v>
      </c>
      <c r="AH24" s="168">
        <f t="shared" si="21"/>
        <v>0</v>
      </c>
      <c r="AI24" s="168">
        <f t="shared" si="21"/>
        <v>17545</v>
      </c>
      <c r="AJ24" s="168">
        <f t="shared" si="21"/>
        <v>0</v>
      </c>
      <c r="AK24" s="168">
        <f t="shared" si="21"/>
        <v>0</v>
      </c>
      <c r="AL24" s="168">
        <f t="shared" si="21"/>
        <v>0</v>
      </c>
      <c r="AM24" s="168">
        <f t="shared" si="21"/>
        <v>0</v>
      </c>
      <c r="AN24" s="168">
        <f t="shared" si="21"/>
        <v>0</v>
      </c>
      <c r="AO24" s="168">
        <f t="shared" si="21"/>
        <v>0</v>
      </c>
      <c r="AP24" s="168">
        <f t="shared" si="21"/>
        <v>0</v>
      </c>
      <c r="AQ24" s="170"/>
      <c r="AR24" s="171">
        <f t="shared" si="5"/>
        <v>28018.000100000001</v>
      </c>
      <c r="AT24" s="166">
        <f t="shared" si="6"/>
        <v>2012</v>
      </c>
      <c r="AU24" s="166">
        <f t="shared" si="7"/>
        <v>0</v>
      </c>
      <c r="AV24" s="166">
        <v>100</v>
      </c>
      <c r="AW24" s="241">
        <f t="shared" si="8"/>
        <v>0</v>
      </c>
      <c r="AX24" s="166">
        <f t="shared" si="9"/>
        <v>0</v>
      </c>
      <c r="AY24" s="166">
        <f t="shared" si="10"/>
        <v>1</v>
      </c>
      <c r="AZ24" s="242">
        <f t="shared" si="11"/>
        <v>0</v>
      </c>
      <c r="BA24" s="234">
        <f t="shared" si="12"/>
        <v>1</v>
      </c>
      <c r="BB24" s="235">
        <f t="shared" si="13"/>
        <v>0</v>
      </c>
      <c r="BC24" s="235">
        <f t="shared" si="14"/>
        <v>0</v>
      </c>
      <c r="BD24" s="236">
        <f t="shared" si="15"/>
        <v>0</v>
      </c>
    </row>
    <row r="25" spans="1:56" s="163" customFormat="1" ht="16.25" customHeight="1">
      <c r="A25" s="163" t="s">
        <v>234</v>
      </c>
      <c r="B25" s="163" t="s">
        <v>295</v>
      </c>
      <c r="C25" s="180" t="s">
        <v>193</v>
      </c>
      <c r="D25" s="165">
        <v>1</v>
      </c>
      <c r="E25" s="200">
        <f>RTU2Compressor2COstYear</f>
        <v>2018</v>
      </c>
      <c r="F25" s="204">
        <f>D25*RTU2COmpressor2UnitCost</f>
        <v>8654</v>
      </c>
      <c r="G25" s="181">
        <v>0</v>
      </c>
      <c r="H25" s="206">
        <f t="shared" si="1"/>
        <v>9270.3811499999993</v>
      </c>
      <c r="I25" s="166">
        <v>2012</v>
      </c>
      <c r="J25" s="166"/>
      <c r="K25" s="177">
        <f>RTU2COmpressor2LIfe</f>
        <v>15</v>
      </c>
      <c r="L25" s="169" t="s">
        <v>444</v>
      </c>
      <c r="M25" s="168">
        <f t="shared" si="19"/>
        <v>0</v>
      </c>
      <c r="N25" s="168">
        <f t="shared" si="19"/>
        <v>0</v>
      </c>
      <c r="O25" s="168">
        <f t="shared" si="19"/>
        <v>0</v>
      </c>
      <c r="P25" s="168">
        <f t="shared" si="19"/>
        <v>0</v>
      </c>
      <c r="Q25" s="168">
        <f t="shared" si="19"/>
        <v>0</v>
      </c>
      <c r="R25" s="168">
        <f t="shared" si="19"/>
        <v>0</v>
      </c>
      <c r="S25" s="168">
        <f t="shared" si="19"/>
        <v>0</v>
      </c>
      <c r="T25" s="168">
        <f t="shared" si="19"/>
        <v>11795</v>
      </c>
      <c r="U25" s="168">
        <f t="shared" si="19"/>
        <v>0</v>
      </c>
      <c r="V25" s="168">
        <f t="shared" si="19"/>
        <v>0</v>
      </c>
      <c r="W25" s="168">
        <f t="shared" si="20"/>
        <v>0</v>
      </c>
      <c r="X25" s="168">
        <f t="shared" si="20"/>
        <v>0</v>
      </c>
      <c r="Y25" s="168">
        <f t="shared" si="20"/>
        <v>0</v>
      </c>
      <c r="Z25" s="168">
        <f t="shared" si="20"/>
        <v>0</v>
      </c>
      <c r="AA25" s="168">
        <f t="shared" si="20"/>
        <v>0</v>
      </c>
      <c r="AB25" s="168">
        <f t="shared" si="20"/>
        <v>0</v>
      </c>
      <c r="AC25" s="168">
        <f t="shared" si="20"/>
        <v>0</v>
      </c>
      <c r="AD25" s="168">
        <f t="shared" si="20"/>
        <v>0</v>
      </c>
      <c r="AE25" s="168">
        <f t="shared" si="20"/>
        <v>0</v>
      </c>
      <c r="AF25" s="168">
        <f t="shared" si="20"/>
        <v>0</v>
      </c>
      <c r="AG25" s="168">
        <f t="shared" si="21"/>
        <v>0</v>
      </c>
      <c r="AH25" s="168">
        <f t="shared" si="21"/>
        <v>0</v>
      </c>
      <c r="AI25" s="168">
        <f t="shared" si="21"/>
        <v>19760</v>
      </c>
      <c r="AJ25" s="168">
        <f t="shared" si="21"/>
        <v>0</v>
      </c>
      <c r="AK25" s="168">
        <f t="shared" si="21"/>
        <v>0</v>
      </c>
      <c r="AL25" s="168">
        <f t="shared" si="21"/>
        <v>0</v>
      </c>
      <c r="AM25" s="168">
        <f t="shared" si="21"/>
        <v>0</v>
      </c>
      <c r="AN25" s="168">
        <f t="shared" si="21"/>
        <v>0</v>
      </c>
      <c r="AO25" s="168">
        <f t="shared" si="21"/>
        <v>0</v>
      </c>
      <c r="AP25" s="168">
        <f t="shared" si="21"/>
        <v>0</v>
      </c>
      <c r="AQ25" s="170"/>
      <c r="AR25" s="171">
        <f t="shared" si="5"/>
        <v>31555.000100000001</v>
      </c>
      <c r="AT25" s="166">
        <f t="shared" si="6"/>
        <v>2012</v>
      </c>
      <c r="AU25" s="166">
        <f t="shared" si="7"/>
        <v>0</v>
      </c>
      <c r="AV25" s="166">
        <v>100</v>
      </c>
      <c r="AW25" s="241">
        <f t="shared" si="8"/>
        <v>0</v>
      </c>
      <c r="AX25" s="166">
        <f t="shared" si="9"/>
        <v>0</v>
      </c>
      <c r="AY25" s="166">
        <f t="shared" si="10"/>
        <v>1</v>
      </c>
      <c r="AZ25" s="242">
        <f t="shared" si="11"/>
        <v>0</v>
      </c>
      <c r="BA25" s="234">
        <f t="shared" si="12"/>
        <v>1</v>
      </c>
      <c r="BB25" s="235">
        <f t="shared" si="13"/>
        <v>0</v>
      </c>
      <c r="BC25" s="235">
        <f t="shared" si="14"/>
        <v>0</v>
      </c>
      <c r="BD25" s="236">
        <f t="shared" si="15"/>
        <v>0</v>
      </c>
    </row>
    <row r="26" spans="1:56" s="163" customFormat="1" ht="16.25" customHeight="1">
      <c r="A26" s="163" t="s">
        <v>234</v>
      </c>
      <c r="B26" s="163" t="s">
        <v>295</v>
      </c>
      <c r="C26" s="180" t="s">
        <v>190</v>
      </c>
      <c r="D26" s="165">
        <v>1</v>
      </c>
      <c r="E26" s="200">
        <f>RTU2EvapCoilCostYear</f>
        <v>2018</v>
      </c>
      <c r="F26" s="204">
        <f>D26*RTU2EvapCoilUnitCost</f>
        <v>8486</v>
      </c>
      <c r="G26" s="181">
        <v>0</v>
      </c>
      <c r="H26" s="206">
        <f t="shared" si="1"/>
        <v>9090.4153499999993</v>
      </c>
      <c r="I26" s="166">
        <v>2012</v>
      </c>
      <c r="J26" s="166"/>
      <c r="K26" s="177">
        <f>RTU2EvapCoilLLIfe</f>
        <v>15</v>
      </c>
      <c r="L26" s="169" t="s">
        <v>444</v>
      </c>
      <c r="M26" s="168">
        <f t="shared" si="19"/>
        <v>0</v>
      </c>
      <c r="N26" s="168">
        <f t="shared" si="19"/>
        <v>0</v>
      </c>
      <c r="O26" s="168">
        <f t="shared" si="19"/>
        <v>0</v>
      </c>
      <c r="P26" s="168">
        <f t="shared" si="19"/>
        <v>0</v>
      </c>
      <c r="Q26" s="168">
        <f t="shared" si="19"/>
        <v>0</v>
      </c>
      <c r="R26" s="168">
        <f t="shared" si="19"/>
        <v>0</v>
      </c>
      <c r="S26" s="168">
        <f t="shared" si="19"/>
        <v>0</v>
      </c>
      <c r="T26" s="168">
        <f t="shared" si="19"/>
        <v>11566</v>
      </c>
      <c r="U26" s="168">
        <f t="shared" si="19"/>
        <v>0</v>
      </c>
      <c r="V26" s="168">
        <f t="shared" si="19"/>
        <v>0</v>
      </c>
      <c r="W26" s="168">
        <f t="shared" si="20"/>
        <v>0</v>
      </c>
      <c r="X26" s="168">
        <f t="shared" si="20"/>
        <v>0</v>
      </c>
      <c r="Y26" s="168">
        <f t="shared" si="20"/>
        <v>0</v>
      </c>
      <c r="Z26" s="168">
        <f t="shared" si="20"/>
        <v>0</v>
      </c>
      <c r="AA26" s="168">
        <f t="shared" si="20"/>
        <v>0</v>
      </c>
      <c r="AB26" s="168">
        <f t="shared" si="20"/>
        <v>0</v>
      </c>
      <c r="AC26" s="168">
        <f t="shared" si="20"/>
        <v>0</v>
      </c>
      <c r="AD26" s="168">
        <f t="shared" si="20"/>
        <v>0</v>
      </c>
      <c r="AE26" s="168">
        <f t="shared" si="20"/>
        <v>0</v>
      </c>
      <c r="AF26" s="168">
        <f t="shared" si="20"/>
        <v>0</v>
      </c>
      <c r="AG26" s="168">
        <f t="shared" si="21"/>
        <v>0</v>
      </c>
      <c r="AH26" s="168">
        <f t="shared" si="21"/>
        <v>0</v>
      </c>
      <c r="AI26" s="168">
        <f t="shared" si="21"/>
        <v>19376</v>
      </c>
      <c r="AJ26" s="168">
        <f t="shared" si="21"/>
        <v>0</v>
      </c>
      <c r="AK26" s="168">
        <f t="shared" si="21"/>
        <v>0</v>
      </c>
      <c r="AL26" s="168">
        <f t="shared" si="21"/>
        <v>0</v>
      </c>
      <c r="AM26" s="168">
        <f t="shared" si="21"/>
        <v>0</v>
      </c>
      <c r="AN26" s="168">
        <f t="shared" si="21"/>
        <v>0</v>
      </c>
      <c r="AO26" s="168">
        <f t="shared" si="21"/>
        <v>0</v>
      </c>
      <c r="AP26" s="168">
        <f t="shared" si="21"/>
        <v>0</v>
      </c>
      <c r="AQ26" s="170"/>
      <c r="AR26" s="171">
        <f t="shared" si="5"/>
        <v>30942.000100000001</v>
      </c>
      <c r="AT26" s="166">
        <f t="shared" si="6"/>
        <v>2012</v>
      </c>
      <c r="AU26" s="166">
        <f t="shared" si="7"/>
        <v>0</v>
      </c>
      <c r="AV26" s="166">
        <v>100</v>
      </c>
      <c r="AW26" s="241">
        <f t="shared" si="8"/>
        <v>0</v>
      </c>
      <c r="AX26" s="166">
        <f t="shared" si="9"/>
        <v>0</v>
      </c>
      <c r="AY26" s="166">
        <f t="shared" si="10"/>
        <v>1</v>
      </c>
      <c r="AZ26" s="242">
        <f t="shared" si="11"/>
        <v>0</v>
      </c>
      <c r="BA26" s="234">
        <f t="shared" si="12"/>
        <v>1</v>
      </c>
      <c r="BB26" s="235">
        <f t="shared" si="13"/>
        <v>0</v>
      </c>
      <c r="BC26" s="235">
        <f t="shared" si="14"/>
        <v>0</v>
      </c>
      <c r="BD26" s="236">
        <f t="shared" si="15"/>
        <v>0</v>
      </c>
    </row>
    <row r="27" spans="1:56" s="163" customFormat="1" ht="16.25" customHeight="1">
      <c r="A27" s="163" t="s">
        <v>234</v>
      </c>
      <c r="B27" s="163" t="s">
        <v>295</v>
      </c>
      <c r="C27" s="180" t="s">
        <v>195</v>
      </c>
      <c r="D27" s="165">
        <v>1</v>
      </c>
      <c r="E27" s="200">
        <f>RTU2MotherboardCostYear</f>
        <v>2018</v>
      </c>
      <c r="F27" s="204">
        <f>D27*RTU2MotherboardUnitCost</f>
        <v>6478</v>
      </c>
      <c r="G27" s="181">
        <v>0</v>
      </c>
      <c r="H27" s="206">
        <f t="shared" si="1"/>
        <v>6939.3955499999993</v>
      </c>
      <c r="I27" s="166">
        <v>2012</v>
      </c>
      <c r="J27" s="166"/>
      <c r="K27" s="177">
        <f>RTU2MotherboardLife</f>
        <v>15</v>
      </c>
      <c r="L27" s="169" t="s">
        <v>444</v>
      </c>
      <c r="M27" s="168">
        <f t="shared" si="19"/>
        <v>0</v>
      </c>
      <c r="N27" s="168">
        <f t="shared" si="19"/>
        <v>0</v>
      </c>
      <c r="O27" s="168">
        <f t="shared" si="19"/>
        <v>0</v>
      </c>
      <c r="P27" s="168">
        <f t="shared" si="19"/>
        <v>0</v>
      </c>
      <c r="Q27" s="168">
        <f t="shared" si="19"/>
        <v>0</v>
      </c>
      <c r="R27" s="168">
        <f t="shared" si="19"/>
        <v>0</v>
      </c>
      <c r="S27" s="168">
        <f t="shared" si="19"/>
        <v>0</v>
      </c>
      <c r="T27" s="168">
        <f t="shared" si="19"/>
        <v>8829</v>
      </c>
      <c r="U27" s="168">
        <f t="shared" si="19"/>
        <v>0</v>
      </c>
      <c r="V27" s="168">
        <f t="shared" si="19"/>
        <v>0</v>
      </c>
      <c r="W27" s="168">
        <f t="shared" si="20"/>
        <v>0</v>
      </c>
      <c r="X27" s="168">
        <f t="shared" si="20"/>
        <v>0</v>
      </c>
      <c r="Y27" s="168">
        <f t="shared" si="20"/>
        <v>0</v>
      </c>
      <c r="Z27" s="168">
        <f t="shared" si="20"/>
        <v>0</v>
      </c>
      <c r="AA27" s="168">
        <f t="shared" si="20"/>
        <v>0</v>
      </c>
      <c r="AB27" s="168">
        <f t="shared" si="20"/>
        <v>0</v>
      </c>
      <c r="AC27" s="168">
        <f t="shared" si="20"/>
        <v>0</v>
      </c>
      <c r="AD27" s="168">
        <f t="shared" si="20"/>
        <v>0</v>
      </c>
      <c r="AE27" s="168">
        <f t="shared" si="20"/>
        <v>0</v>
      </c>
      <c r="AF27" s="168">
        <f t="shared" si="20"/>
        <v>0</v>
      </c>
      <c r="AG27" s="168">
        <f t="shared" si="21"/>
        <v>0</v>
      </c>
      <c r="AH27" s="168">
        <f t="shared" si="21"/>
        <v>0</v>
      </c>
      <c r="AI27" s="168">
        <f t="shared" si="21"/>
        <v>14791</v>
      </c>
      <c r="AJ27" s="168">
        <f t="shared" si="21"/>
        <v>0</v>
      </c>
      <c r="AK27" s="168">
        <f t="shared" si="21"/>
        <v>0</v>
      </c>
      <c r="AL27" s="168">
        <f t="shared" si="21"/>
        <v>0</v>
      </c>
      <c r="AM27" s="168">
        <f t="shared" si="21"/>
        <v>0</v>
      </c>
      <c r="AN27" s="168">
        <f t="shared" si="21"/>
        <v>0</v>
      </c>
      <c r="AO27" s="168">
        <f t="shared" si="21"/>
        <v>0</v>
      </c>
      <c r="AP27" s="168">
        <f t="shared" si="21"/>
        <v>0</v>
      </c>
      <c r="AQ27" s="170"/>
      <c r="AR27" s="171">
        <f t="shared" si="5"/>
        <v>23620.000100000001</v>
      </c>
      <c r="AT27" s="166">
        <f t="shared" si="6"/>
        <v>2012</v>
      </c>
      <c r="AU27" s="166">
        <f t="shared" si="7"/>
        <v>0</v>
      </c>
      <c r="AV27" s="166">
        <v>100</v>
      </c>
      <c r="AW27" s="241">
        <f t="shared" si="8"/>
        <v>0</v>
      </c>
      <c r="AX27" s="166">
        <f t="shared" si="9"/>
        <v>0</v>
      </c>
      <c r="AY27" s="166">
        <f t="shared" si="10"/>
        <v>1</v>
      </c>
      <c r="AZ27" s="242">
        <f t="shared" si="11"/>
        <v>0</v>
      </c>
      <c r="BA27" s="234">
        <f t="shared" si="12"/>
        <v>1</v>
      </c>
      <c r="BB27" s="235">
        <f t="shared" si="13"/>
        <v>0</v>
      </c>
      <c r="BC27" s="235">
        <f t="shared" si="14"/>
        <v>0</v>
      </c>
      <c r="BD27" s="236">
        <f t="shared" si="15"/>
        <v>0</v>
      </c>
    </row>
    <row r="28" spans="1:56" s="163" customFormat="1" ht="16.25" customHeight="1">
      <c r="A28" s="163" t="s">
        <v>234</v>
      </c>
      <c r="B28" s="163" t="s">
        <v>295</v>
      </c>
      <c r="C28" s="180" t="s">
        <v>201</v>
      </c>
      <c r="D28" s="165">
        <v>1</v>
      </c>
      <c r="E28" s="200">
        <f>RTU3BLowerMotorCOstYear</f>
        <v>2018</v>
      </c>
      <c r="F28" s="204">
        <f>D28*RTU3BLowerMotorUnitCost</f>
        <v>7877</v>
      </c>
      <c r="G28" s="181">
        <v>0</v>
      </c>
      <c r="H28" s="206">
        <f t="shared" si="1"/>
        <v>8438.0393249999997</v>
      </c>
      <c r="I28" s="166">
        <v>2012</v>
      </c>
      <c r="J28" s="166"/>
      <c r="K28" s="177">
        <f>RTU3BLowerMotorLIfe</f>
        <v>15</v>
      </c>
      <c r="L28" s="169" t="s">
        <v>444</v>
      </c>
      <c r="M28" s="168">
        <f t="shared" si="19"/>
        <v>0</v>
      </c>
      <c r="N28" s="168">
        <f t="shared" si="19"/>
        <v>0</v>
      </c>
      <c r="O28" s="168">
        <f t="shared" si="19"/>
        <v>0</v>
      </c>
      <c r="P28" s="168">
        <f t="shared" si="19"/>
        <v>0</v>
      </c>
      <c r="Q28" s="168">
        <f t="shared" si="19"/>
        <v>0</v>
      </c>
      <c r="R28" s="168">
        <f t="shared" si="19"/>
        <v>0</v>
      </c>
      <c r="S28" s="168">
        <f t="shared" si="19"/>
        <v>0</v>
      </c>
      <c r="T28" s="168">
        <f t="shared" si="19"/>
        <v>10736</v>
      </c>
      <c r="U28" s="168">
        <f t="shared" si="19"/>
        <v>0</v>
      </c>
      <c r="V28" s="168">
        <f t="shared" si="19"/>
        <v>0</v>
      </c>
      <c r="W28" s="168">
        <f t="shared" si="20"/>
        <v>0</v>
      </c>
      <c r="X28" s="168">
        <f t="shared" si="20"/>
        <v>0</v>
      </c>
      <c r="Y28" s="168">
        <f t="shared" si="20"/>
        <v>0</v>
      </c>
      <c r="Z28" s="168">
        <f t="shared" si="20"/>
        <v>0</v>
      </c>
      <c r="AA28" s="168">
        <f t="shared" si="20"/>
        <v>0</v>
      </c>
      <c r="AB28" s="168">
        <f t="shared" si="20"/>
        <v>0</v>
      </c>
      <c r="AC28" s="168">
        <f t="shared" si="20"/>
        <v>0</v>
      </c>
      <c r="AD28" s="168">
        <f t="shared" si="20"/>
        <v>0</v>
      </c>
      <c r="AE28" s="168">
        <f t="shared" si="20"/>
        <v>0</v>
      </c>
      <c r="AF28" s="168">
        <f t="shared" si="20"/>
        <v>0</v>
      </c>
      <c r="AG28" s="168">
        <f t="shared" si="21"/>
        <v>0</v>
      </c>
      <c r="AH28" s="168">
        <f t="shared" si="21"/>
        <v>0</v>
      </c>
      <c r="AI28" s="168">
        <f t="shared" si="21"/>
        <v>17986</v>
      </c>
      <c r="AJ28" s="168">
        <f t="shared" si="21"/>
        <v>0</v>
      </c>
      <c r="AK28" s="168">
        <f t="shared" si="21"/>
        <v>0</v>
      </c>
      <c r="AL28" s="168">
        <f t="shared" si="21"/>
        <v>0</v>
      </c>
      <c r="AM28" s="168">
        <f t="shared" si="21"/>
        <v>0</v>
      </c>
      <c r="AN28" s="168">
        <f t="shared" si="21"/>
        <v>0</v>
      </c>
      <c r="AO28" s="168">
        <f t="shared" si="21"/>
        <v>0</v>
      </c>
      <c r="AP28" s="168">
        <f t="shared" si="21"/>
        <v>0</v>
      </c>
      <c r="AQ28" s="170"/>
      <c r="AR28" s="171">
        <f t="shared" si="5"/>
        <v>28722.000100000001</v>
      </c>
      <c r="AT28" s="166">
        <f t="shared" si="6"/>
        <v>2012</v>
      </c>
      <c r="AU28" s="166">
        <f t="shared" si="7"/>
        <v>0</v>
      </c>
      <c r="AV28" s="166">
        <v>100</v>
      </c>
      <c r="AW28" s="241">
        <f t="shared" si="8"/>
        <v>0</v>
      </c>
      <c r="AX28" s="166">
        <f t="shared" si="9"/>
        <v>0</v>
      </c>
      <c r="AY28" s="166">
        <f t="shared" si="10"/>
        <v>1</v>
      </c>
      <c r="AZ28" s="242">
        <f t="shared" si="11"/>
        <v>0</v>
      </c>
      <c r="BA28" s="234">
        <f t="shared" si="12"/>
        <v>1</v>
      </c>
      <c r="BB28" s="235">
        <f t="shared" si="13"/>
        <v>0</v>
      </c>
      <c r="BC28" s="235">
        <f t="shared" si="14"/>
        <v>0</v>
      </c>
      <c r="BD28" s="236">
        <f t="shared" si="15"/>
        <v>0</v>
      </c>
    </row>
    <row r="29" spans="1:56" s="163" customFormat="1" ht="16.25" customHeight="1">
      <c r="A29" s="163" t="s">
        <v>234</v>
      </c>
      <c r="B29" s="163" t="s">
        <v>295</v>
      </c>
      <c r="C29" s="180" t="s">
        <v>196</v>
      </c>
      <c r="D29" s="165">
        <v>1</v>
      </c>
      <c r="E29" s="200">
        <f>RTU3Compressor1COstYear</f>
        <v>2018</v>
      </c>
      <c r="F29" s="204">
        <f>D29*RTU3COmpressor1UnitCOst</f>
        <v>12069</v>
      </c>
      <c r="G29" s="181">
        <v>0</v>
      </c>
      <c r="H29" s="206">
        <f t="shared" si="1"/>
        <v>12928.614524999999</v>
      </c>
      <c r="I29" s="166">
        <v>2012</v>
      </c>
      <c r="J29" s="166"/>
      <c r="K29" s="177">
        <f>RTU3Compressor1LIfe</f>
        <v>15</v>
      </c>
      <c r="L29" s="169" t="s">
        <v>444</v>
      </c>
      <c r="M29" s="168">
        <f t="shared" si="19"/>
        <v>0</v>
      </c>
      <c r="N29" s="168">
        <f t="shared" si="19"/>
        <v>0</v>
      </c>
      <c r="O29" s="168">
        <f t="shared" si="19"/>
        <v>0</v>
      </c>
      <c r="P29" s="168">
        <f t="shared" si="19"/>
        <v>0</v>
      </c>
      <c r="Q29" s="168">
        <f t="shared" si="19"/>
        <v>0</v>
      </c>
      <c r="R29" s="168">
        <f t="shared" si="19"/>
        <v>0</v>
      </c>
      <c r="S29" s="168">
        <f t="shared" si="19"/>
        <v>0</v>
      </c>
      <c r="T29" s="168">
        <f t="shared" si="19"/>
        <v>16449</v>
      </c>
      <c r="U29" s="168">
        <f t="shared" si="19"/>
        <v>0</v>
      </c>
      <c r="V29" s="168">
        <f t="shared" si="19"/>
        <v>0</v>
      </c>
      <c r="W29" s="168">
        <f t="shared" si="20"/>
        <v>0</v>
      </c>
      <c r="X29" s="168">
        <f t="shared" si="20"/>
        <v>0</v>
      </c>
      <c r="Y29" s="168">
        <f t="shared" si="20"/>
        <v>0</v>
      </c>
      <c r="Z29" s="168">
        <f t="shared" si="20"/>
        <v>0</v>
      </c>
      <c r="AA29" s="168">
        <f t="shared" si="20"/>
        <v>0</v>
      </c>
      <c r="AB29" s="168">
        <f t="shared" si="20"/>
        <v>0</v>
      </c>
      <c r="AC29" s="168">
        <f t="shared" si="20"/>
        <v>0</v>
      </c>
      <c r="AD29" s="168">
        <f t="shared" si="20"/>
        <v>0</v>
      </c>
      <c r="AE29" s="168">
        <f t="shared" si="20"/>
        <v>0</v>
      </c>
      <c r="AF29" s="168">
        <f t="shared" si="20"/>
        <v>0</v>
      </c>
      <c r="AG29" s="168">
        <f t="shared" si="21"/>
        <v>0</v>
      </c>
      <c r="AH29" s="168">
        <f t="shared" si="21"/>
        <v>0</v>
      </c>
      <c r="AI29" s="168">
        <f t="shared" si="21"/>
        <v>27557</v>
      </c>
      <c r="AJ29" s="168">
        <f t="shared" si="21"/>
        <v>0</v>
      </c>
      <c r="AK29" s="168">
        <f t="shared" si="21"/>
        <v>0</v>
      </c>
      <c r="AL29" s="168">
        <f t="shared" si="21"/>
        <v>0</v>
      </c>
      <c r="AM29" s="168">
        <f t="shared" si="21"/>
        <v>0</v>
      </c>
      <c r="AN29" s="168">
        <f t="shared" si="21"/>
        <v>0</v>
      </c>
      <c r="AO29" s="168">
        <f t="shared" si="21"/>
        <v>0</v>
      </c>
      <c r="AP29" s="168">
        <f t="shared" si="21"/>
        <v>0</v>
      </c>
      <c r="AQ29" s="170"/>
      <c r="AR29" s="171">
        <f t="shared" si="5"/>
        <v>44006.000099999997</v>
      </c>
      <c r="AT29" s="166">
        <f t="shared" si="6"/>
        <v>2012</v>
      </c>
      <c r="AU29" s="166">
        <f t="shared" si="7"/>
        <v>0</v>
      </c>
      <c r="AV29" s="166">
        <v>100</v>
      </c>
      <c r="AW29" s="241">
        <f t="shared" si="8"/>
        <v>0</v>
      </c>
      <c r="AX29" s="166">
        <f t="shared" si="9"/>
        <v>0</v>
      </c>
      <c r="AY29" s="166">
        <f t="shared" si="10"/>
        <v>1</v>
      </c>
      <c r="AZ29" s="242">
        <f t="shared" si="11"/>
        <v>0</v>
      </c>
      <c r="BA29" s="234">
        <f t="shared" si="12"/>
        <v>1</v>
      </c>
      <c r="BB29" s="235">
        <f t="shared" si="13"/>
        <v>0</v>
      </c>
      <c r="BC29" s="235">
        <f t="shared" si="14"/>
        <v>0</v>
      </c>
      <c r="BD29" s="236">
        <f t="shared" si="15"/>
        <v>0</v>
      </c>
    </row>
    <row r="30" spans="1:56" s="163" customFormat="1" ht="16.25" customHeight="1">
      <c r="A30" s="163" t="s">
        <v>234</v>
      </c>
      <c r="B30" s="163" t="s">
        <v>295</v>
      </c>
      <c r="C30" s="180" t="s">
        <v>197</v>
      </c>
      <c r="D30" s="165">
        <v>1</v>
      </c>
      <c r="E30" s="200">
        <f>RTU3Compressor2CostYear</f>
        <v>2018</v>
      </c>
      <c r="F30" s="204">
        <f>D30*RTU3COmpressor2UnitCOst</f>
        <v>16569</v>
      </c>
      <c r="G30" s="181">
        <v>0</v>
      </c>
      <c r="H30" s="206">
        <f t="shared" si="1"/>
        <v>17749.127024999998</v>
      </c>
      <c r="I30" s="166">
        <v>2012</v>
      </c>
      <c r="J30" s="166"/>
      <c r="K30" s="177">
        <f>RTU3COmpressor2Life</f>
        <v>15</v>
      </c>
      <c r="L30" s="169" t="s">
        <v>444</v>
      </c>
      <c r="M30" s="168">
        <f t="shared" si="19"/>
        <v>0</v>
      </c>
      <c r="N30" s="168">
        <f t="shared" si="19"/>
        <v>0</v>
      </c>
      <c r="O30" s="168">
        <f t="shared" si="19"/>
        <v>0</v>
      </c>
      <c r="P30" s="168">
        <f t="shared" si="19"/>
        <v>0</v>
      </c>
      <c r="Q30" s="168">
        <f t="shared" si="19"/>
        <v>0</v>
      </c>
      <c r="R30" s="168">
        <f t="shared" si="19"/>
        <v>0</v>
      </c>
      <c r="S30" s="168">
        <f t="shared" si="19"/>
        <v>0</v>
      </c>
      <c r="T30" s="168">
        <f t="shared" si="19"/>
        <v>22582</v>
      </c>
      <c r="U30" s="168">
        <f t="shared" si="19"/>
        <v>0</v>
      </c>
      <c r="V30" s="168">
        <f t="shared" si="19"/>
        <v>0</v>
      </c>
      <c r="W30" s="168">
        <f t="shared" si="20"/>
        <v>0</v>
      </c>
      <c r="X30" s="168">
        <f t="shared" si="20"/>
        <v>0</v>
      </c>
      <c r="Y30" s="168">
        <f t="shared" si="20"/>
        <v>0</v>
      </c>
      <c r="Z30" s="168">
        <f t="shared" si="20"/>
        <v>0</v>
      </c>
      <c r="AA30" s="168">
        <f t="shared" si="20"/>
        <v>0</v>
      </c>
      <c r="AB30" s="168">
        <f t="shared" si="20"/>
        <v>0</v>
      </c>
      <c r="AC30" s="168">
        <f t="shared" si="20"/>
        <v>0</v>
      </c>
      <c r="AD30" s="168">
        <f t="shared" si="20"/>
        <v>0</v>
      </c>
      <c r="AE30" s="168">
        <f t="shared" si="20"/>
        <v>0</v>
      </c>
      <c r="AF30" s="168">
        <f t="shared" si="20"/>
        <v>0</v>
      </c>
      <c r="AG30" s="168">
        <f t="shared" si="21"/>
        <v>0</v>
      </c>
      <c r="AH30" s="168">
        <f t="shared" si="21"/>
        <v>0</v>
      </c>
      <c r="AI30" s="168">
        <f t="shared" si="21"/>
        <v>37832</v>
      </c>
      <c r="AJ30" s="168">
        <f t="shared" si="21"/>
        <v>0</v>
      </c>
      <c r="AK30" s="168">
        <f t="shared" si="21"/>
        <v>0</v>
      </c>
      <c r="AL30" s="168">
        <f t="shared" si="21"/>
        <v>0</v>
      </c>
      <c r="AM30" s="168">
        <f t="shared" si="21"/>
        <v>0</v>
      </c>
      <c r="AN30" s="168">
        <f t="shared" si="21"/>
        <v>0</v>
      </c>
      <c r="AO30" s="168">
        <f t="shared" si="21"/>
        <v>0</v>
      </c>
      <c r="AP30" s="168">
        <f t="shared" si="21"/>
        <v>0</v>
      </c>
      <c r="AQ30" s="170"/>
      <c r="AR30" s="171">
        <f t="shared" si="5"/>
        <v>60414.000099999997</v>
      </c>
      <c r="AT30" s="166">
        <f t="shared" si="6"/>
        <v>2012</v>
      </c>
      <c r="AU30" s="166">
        <f t="shared" si="7"/>
        <v>0</v>
      </c>
      <c r="AV30" s="166">
        <v>100</v>
      </c>
      <c r="AW30" s="241">
        <f t="shared" si="8"/>
        <v>0</v>
      </c>
      <c r="AX30" s="166">
        <f t="shared" si="9"/>
        <v>0</v>
      </c>
      <c r="AY30" s="166">
        <f t="shared" si="10"/>
        <v>1</v>
      </c>
      <c r="AZ30" s="242">
        <f t="shared" si="11"/>
        <v>0</v>
      </c>
      <c r="BA30" s="234">
        <f t="shared" si="12"/>
        <v>1</v>
      </c>
      <c r="BB30" s="235">
        <f t="shared" si="13"/>
        <v>0</v>
      </c>
      <c r="BC30" s="235">
        <f t="shared" si="14"/>
        <v>0</v>
      </c>
      <c r="BD30" s="236">
        <f t="shared" si="15"/>
        <v>0</v>
      </c>
    </row>
    <row r="31" spans="1:56" s="163" customFormat="1" ht="16.25" customHeight="1">
      <c r="A31" s="163" t="s">
        <v>234</v>
      </c>
      <c r="B31" s="163" t="s">
        <v>295</v>
      </c>
      <c r="C31" s="180" t="s">
        <v>198</v>
      </c>
      <c r="D31" s="165">
        <v>1</v>
      </c>
      <c r="E31" s="200">
        <f>RTU3Compressor3COstYEar</f>
        <v>2018</v>
      </c>
      <c r="F31" s="204">
        <f>D31*RTU3COmpressor3UnitCost</f>
        <v>14155</v>
      </c>
      <c r="G31" s="181">
        <v>0</v>
      </c>
      <c r="H31" s="206">
        <f t="shared" si="1"/>
        <v>15163.189874999998</v>
      </c>
      <c r="I31" s="166">
        <v>2012</v>
      </c>
      <c r="J31" s="166"/>
      <c r="K31" s="177">
        <f>RTU3Compressor3LIfe</f>
        <v>15</v>
      </c>
      <c r="L31" s="169" t="s">
        <v>444</v>
      </c>
      <c r="M31" s="168">
        <f t="shared" si="19"/>
        <v>0</v>
      </c>
      <c r="N31" s="168">
        <f t="shared" si="19"/>
        <v>0</v>
      </c>
      <c r="O31" s="168">
        <f t="shared" si="19"/>
        <v>0</v>
      </c>
      <c r="P31" s="168">
        <f t="shared" si="19"/>
        <v>0</v>
      </c>
      <c r="Q31" s="168">
        <f t="shared" si="19"/>
        <v>0</v>
      </c>
      <c r="R31" s="168">
        <f t="shared" si="19"/>
        <v>0</v>
      </c>
      <c r="S31" s="168">
        <f t="shared" si="19"/>
        <v>0</v>
      </c>
      <c r="T31" s="168">
        <f t="shared" si="19"/>
        <v>19292</v>
      </c>
      <c r="U31" s="168">
        <f t="shared" si="19"/>
        <v>0</v>
      </c>
      <c r="V31" s="168">
        <f t="shared" si="19"/>
        <v>0</v>
      </c>
      <c r="W31" s="168">
        <f t="shared" si="20"/>
        <v>0</v>
      </c>
      <c r="X31" s="168">
        <f t="shared" si="20"/>
        <v>0</v>
      </c>
      <c r="Y31" s="168">
        <f t="shared" si="20"/>
        <v>0</v>
      </c>
      <c r="Z31" s="168">
        <f t="shared" si="20"/>
        <v>0</v>
      </c>
      <c r="AA31" s="168">
        <f t="shared" si="20"/>
        <v>0</v>
      </c>
      <c r="AB31" s="168">
        <f t="shared" si="20"/>
        <v>0</v>
      </c>
      <c r="AC31" s="168">
        <f t="shared" si="20"/>
        <v>0</v>
      </c>
      <c r="AD31" s="168">
        <f t="shared" si="20"/>
        <v>0</v>
      </c>
      <c r="AE31" s="168">
        <f t="shared" si="20"/>
        <v>0</v>
      </c>
      <c r="AF31" s="168">
        <f t="shared" si="20"/>
        <v>0</v>
      </c>
      <c r="AG31" s="168">
        <f t="shared" si="21"/>
        <v>0</v>
      </c>
      <c r="AH31" s="168">
        <f t="shared" si="21"/>
        <v>0</v>
      </c>
      <c r="AI31" s="168">
        <f t="shared" si="21"/>
        <v>32321</v>
      </c>
      <c r="AJ31" s="168">
        <f t="shared" si="21"/>
        <v>0</v>
      </c>
      <c r="AK31" s="168">
        <f t="shared" si="21"/>
        <v>0</v>
      </c>
      <c r="AL31" s="168">
        <f t="shared" si="21"/>
        <v>0</v>
      </c>
      <c r="AM31" s="168">
        <f t="shared" si="21"/>
        <v>0</v>
      </c>
      <c r="AN31" s="168">
        <f t="shared" si="21"/>
        <v>0</v>
      </c>
      <c r="AO31" s="168">
        <f t="shared" si="21"/>
        <v>0</v>
      </c>
      <c r="AP31" s="168">
        <f t="shared" si="21"/>
        <v>0</v>
      </c>
      <c r="AQ31" s="170"/>
      <c r="AR31" s="171">
        <f t="shared" si="5"/>
        <v>51613.000099999997</v>
      </c>
      <c r="AT31" s="166">
        <f t="shared" si="6"/>
        <v>2012</v>
      </c>
      <c r="AU31" s="166">
        <f t="shared" si="7"/>
        <v>0</v>
      </c>
      <c r="AV31" s="166">
        <v>100</v>
      </c>
      <c r="AW31" s="241">
        <f t="shared" si="8"/>
        <v>0</v>
      </c>
      <c r="AX31" s="166">
        <f t="shared" si="9"/>
        <v>0</v>
      </c>
      <c r="AY31" s="166">
        <f t="shared" si="10"/>
        <v>1</v>
      </c>
      <c r="AZ31" s="242">
        <f t="shared" si="11"/>
        <v>0</v>
      </c>
      <c r="BA31" s="234">
        <f t="shared" si="12"/>
        <v>1</v>
      </c>
      <c r="BB31" s="235">
        <f t="shared" si="13"/>
        <v>0</v>
      </c>
      <c r="BC31" s="235">
        <f t="shared" si="14"/>
        <v>0</v>
      </c>
      <c r="BD31" s="236">
        <f t="shared" si="15"/>
        <v>0</v>
      </c>
    </row>
    <row r="32" spans="1:56" s="163" customFormat="1" ht="16.25" customHeight="1">
      <c r="A32" s="163" t="s">
        <v>234</v>
      </c>
      <c r="B32" s="163" t="s">
        <v>295</v>
      </c>
      <c r="C32" s="180" t="s">
        <v>199</v>
      </c>
      <c r="D32" s="165">
        <v>1</v>
      </c>
      <c r="E32" s="200">
        <f>RTU3Compressor4COstYear</f>
        <v>2018</v>
      </c>
      <c r="F32" s="204">
        <f>D32*RTU3Compressor4UnitCOst</f>
        <v>12656</v>
      </c>
      <c r="G32" s="181">
        <v>0</v>
      </c>
      <c r="H32" s="206">
        <f t="shared" si="1"/>
        <v>13557.423599999998</v>
      </c>
      <c r="I32" s="166">
        <v>2012</v>
      </c>
      <c r="J32" s="166"/>
      <c r="K32" s="177">
        <f>RTU3Compressor4Life</f>
        <v>15</v>
      </c>
      <c r="L32" s="169" t="s">
        <v>444</v>
      </c>
      <c r="M32" s="168">
        <f t="shared" si="19"/>
        <v>0</v>
      </c>
      <c r="N32" s="168">
        <f t="shared" si="19"/>
        <v>0</v>
      </c>
      <c r="O32" s="168">
        <f t="shared" si="19"/>
        <v>0</v>
      </c>
      <c r="P32" s="168">
        <f t="shared" si="19"/>
        <v>0</v>
      </c>
      <c r="Q32" s="168">
        <f t="shared" si="19"/>
        <v>0</v>
      </c>
      <c r="R32" s="168">
        <f t="shared" si="19"/>
        <v>0</v>
      </c>
      <c r="S32" s="168">
        <f t="shared" si="19"/>
        <v>0</v>
      </c>
      <c r="T32" s="168">
        <f t="shared" si="19"/>
        <v>17249</v>
      </c>
      <c r="U32" s="168">
        <f t="shared" si="19"/>
        <v>0</v>
      </c>
      <c r="V32" s="168">
        <f t="shared" si="19"/>
        <v>0</v>
      </c>
      <c r="W32" s="168">
        <f t="shared" si="20"/>
        <v>0</v>
      </c>
      <c r="X32" s="168">
        <f t="shared" si="20"/>
        <v>0</v>
      </c>
      <c r="Y32" s="168">
        <f t="shared" si="20"/>
        <v>0</v>
      </c>
      <c r="Z32" s="168">
        <f t="shared" si="20"/>
        <v>0</v>
      </c>
      <c r="AA32" s="168">
        <f t="shared" si="20"/>
        <v>0</v>
      </c>
      <c r="AB32" s="168">
        <f t="shared" si="20"/>
        <v>0</v>
      </c>
      <c r="AC32" s="168">
        <f t="shared" si="20"/>
        <v>0</v>
      </c>
      <c r="AD32" s="168">
        <f t="shared" si="20"/>
        <v>0</v>
      </c>
      <c r="AE32" s="168">
        <f t="shared" si="20"/>
        <v>0</v>
      </c>
      <c r="AF32" s="168">
        <f t="shared" si="20"/>
        <v>0</v>
      </c>
      <c r="AG32" s="168">
        <f t="shared" si="21"/>
        <v>0</v>
      </c>
      <c r="AH32" s="168">
        <f t="shared" si="21"/>
        <v>0</v>
      </c>
      <c r="AI32" s="168">
        <f t="shared" si="21"/>
        <v>28898</v>
      </c>
      <c r="AJ32" s="168">
        <f t="shared" si="21"/>
        <v>0</v>
      </c>
      <c r="AK32" s="168">
        <f t="shared" si="21"/>
        <v>0</v>
      </c>
      <c r="AL32" s="168">
        <f t="shared" si="21"/>
        <v>0</v>
      </c>
      <c r="AM32" s="168">
        <f t="shared" si="21"/>
        <v>0</v>
      </c>
      <c r="AN32" s="168">
        <f t="shared" si="21"/>
        <v>0</v>
      </c>
      <c r="AO32" s="168">
        <f t="shared" si="21"/>
        <v>0</v>
      </c>
      <c r="AP32" s="168">
        <f t="shared" si="21"/>
        <v>0</v>
      </c>
      <c r="AQ32" s="170"/>
      <c r="AR32" s="171">
        <f t="shared" si="5"/>
        <v>46147.000099999997</v>
      </c>
      <c r="AT32" s="166">
        <f t="shared" si="6"/>
        <v>2012</v>
      </c>
      <c r="AU32" s="166">
        <f t="shared" si="7"/>
        <v>0</v>
      </c>
      <c r="AV32" s="166">
        <v>100</v>
      </c>
      <c r="AW32" s="241">
        <f t="shared" si="8"/>
        <v>0</v>
      </c>
      <c r="AX32" s="166">
        <f t="shared" si="9"/>
        <v>0</v>
      </c>
      <c r="AY32" s="166">
        <f t="shared" si="10"/>
        <v>1</v>
      </c>
      <c r="AZ32" s="242">
        <f t="shared" si="11"/>
        <v>0</v>
      </c>
      <c r="BA32" s="234">
        <f t="shared" si="12"/>
        <v>1</v>
      </c>
      <c r="BB32" s="235">
        <f t="shared" si="13"/>
        <v>0</v>
      </c>
      <c r="BC32" s="235">
        <f t="shared" si="14"/>
        <v>0</v>
      </c>
      <c r="BD32" s="236">
        <f t="shared" si="15"/>
        <v>0</v>
      </c>
    </row>
    <row r="33" spans="1:56" s="163" customFormat="1" ht="16.25" customHeight="1">
      <c r="A33" s="163" t="s">
        <v>234</v>
      </c>
      <c r="B33" s="163" t="s">
        <v>295</v>
      </c>
      <c r="C33" s="180" t="s">
        <v>200</v>
      </c>
      <c r="D33" s="165">
        <v>1</v>
      </c>
      <c r="E33" s="200">
        <f>RTU3EvapCoilcostyear</f>
        <v>2018</v>
      </c>
      <c r="F33" s="204">
        <f>D33*RTU3EvapCoilUnitCost</f>
        <v>5983</v>
      </c>
      <c r="G33" s="181">
        <v>0</v>
      </c>
      <c r="H33" s="206">
        <f t="shared" si="1"/>
        <v>6409.1391749999993</v>
      </c>
      <c r="I33" s="166">
        <v>2012</v>
      </c>
      <c r="J33" s="166"/>
      <c r="K33" s="177">
        <f>RTU3EvapCoilLIfe</f>
        <v>15</v>
      </c>
      <c r="L33" s="169" t="s">
        <v>444</v>
      </c>
      <c r="M33" s="168">
        <f t="shared" ref="M33:V42" si="22">ROUND($H33*IF(AND(M$1&gt;=($I33+$J33),MOD(M$1-($I33+$J33),$K33)=0),(1+InflationRate)^(M$1-AnalysisYear),0),0)*IF(AND(M$1&gt;=($AT33+$AU33),(M$1-($AT33+$AU33))&lt;&gt;0,MOD(M$1-($AT33+$AU33),$AV33)=0),0,1)</f>
        <v>0</v>
      </c>
      <c r="N33" s="168">
        <f t="shared" si="22"/>
        <v>0</v>
      </c>
      <c r="O33" s="168">
        <f t="shared" si="22"/>
        <v>0</v>
      </c>
      <c r="P33" s="168">
        <f t="shared" si="22"/>
        <v>0</v>
      </c>
      <c r="Q33" s="168">
        <f t="shared" si="22"/>
        <v>0</v>
      </c>
      <c r="R33" s="168">
        <f t="shared" si="22"/>
        <v>0</v>
      </c>
      <c r="S33" s="168">
        <f t="shared" si="22"/>
        <v>0</v>
      </c>
      <c r="T33" s="168">
        <f t="shared" si="22"/>
        <v>8154</v>
      </c>
      <c r="U33" s="168">
        <f t="shared" si="22"/>
        <v>0</v>
      </c>
      <c r="V33" s="168">
        <f t="shared" si="22"/>
        <v>0</v>
      </c>
      <c r="W33" s="168">
        <f t="shared" ref="W33:AF42" si="23">ROUND($H33*IF(AND(W$1&gt;=($I33+$J33),MOD(W$1-($I33+$J33),$K33)=0),(1+InflationRate)^(W$1-AnalysisYear),0),0)*IF(AND(W$1&gt;=($AT33+$AU33),(W$1-($AT33+$AU33))&lt;&gt;0,MOD(W$1-($AT33+$AU33),$AV33)=0),0,1)</f>
        <v>0</v>
      </c>
      <c r="X33" s="168">
        <f t="shared" si="23"/>
        <v>0</v>
      </c>
      <c r="Y33" s="168">
        <f t="shared" si="23"/>
        <v>0</v>
      </c>
      <c r="Z33" s="168">
        <f t="shared" si="23"/>
        <v>0</v>
      </c>
      <c r="AA33" s="168">
        <f t="shared" si="23"/>
        <v>0</v>
      </c>
      <c r="AB33" s="168">
        <f t="shared" si="23"/>
        <v>0</v>
      </c>
      <c r="AC33" s="168">
        <f t="shared" si="23"/>
        <v>0</v>
      </c>
      <c r="AD33" s="168">
        <f t="shared" si="23"/>
        <v>0</v>
      </c>
      <c r="AE33" s="168">
        <f t="shared" si="23"/>
        <v>0</v>
      </c>
      <c r="AF33" s="168">
        <f t="shared" si="23"/>
        <v>0</v>
      </c>
      <c r="AG33" s="168">
        <f t="shared" ref="AG33:AP42" si="24">ROUND($H33*IF(AND(AG$1&gt;=($I33+$J33),MOD(AG$1-($I33+$J33),$K33)=0),(1+InflationRate)^(AG$1-AnalysisYear),0),0)*IF(AND(AG$1&gt;=($AT33+$AU33),(AG$1-($AT33+$AU33))&lt;&gt;0,MOD(AG$1-($AT33+$AU33),$AV33)=0),0,1)</f>
        <v>0</v>
      </c>
      <c r="AH33" s="168">
        <f t="shared" si="24"/>
        <v>0</v>
      </c>
      <c r="AI33" s="168">
        <f t="shared" si="24"/>
        <v>13661</v>
      </c>
      <c r="AJ33" s="168">
        <f t="shared" si="24"/>
        <v>0</v>
      </c>
      <c r="AK33" s="168">
        <f t="shared" si="24"/>
        <v>0</v>
      </c>
      <c r="AL33" s="168">
        <f t="shared" si="24"/>
        <v>0</v>
      </c>
      <c r="AM33" s="168">
        <f t="shared" si="24"/>
        <v>0</v>
      </c>
      <c r="AN33" s="168">
        <f t="shared" si="24"/>
        <v>0</v>
      </c>
      <c r="AO33" s="168">
        <f t="shared" si="24"/>
        <v>0</v>
      </c>
      <c r="AP33" s="168">
        <f t="shared" si="24"/>
        <v>0</v>
      </c>
      <c r="AQ33" s="170"/>
      <c r="AR33" s="171">
        <f t="shared" si="5"/>
        <v>21815.000100000001</v>
      </c>
      <c r="AT33" s="166">
        <f t="shared" si="6"/>
        <v>2012</v>
      </c>
      <c r="AU33" s="166">
        <f t="shared" si="7"/>
        <v>0</v>
      </c>
      <c r="AV33" s="166">
        <v>100</v>
      </c>
      <c r="AW33" s="241">
        <f t="shared" si="8"/>
        <v>0</v>
      </c>
      <c r="AX33" s="166">
        <f t="shared" si="9"/>
        <v>0</v>
      </c>
      <c r="AY33" s="166">
        <f t="shared" si="10"/>
        <v>1</v>
      </c>
      <c r="AZ33" s="242">
        <f t="shared" si="11"/>
        <v>0</v>
      </c>
      <c r="BA33" s="234">
        <f t="shared" si="12"/>
        <v>1</v>
      </c>
      <c r="BB33" s="235">
        <f t="shared" si="13"/>
        <v>0</v>
      </c>
      <c r="BC33" s="235">
        <f t="shared" si="14"/>
        <v>0</v>
      </c>
      <c r="BD33" s="236">
        <f t="shared" si="15"/>
        <v>0</v>
      </c>
    </row>
    <row r="34" spans="1:56" s="163" customFormat="1" ht="16.25" customHeight="1">
      <c r="A34" s="163" t="s">
        <v>234</v>
      </c>
      <c r="B34" s="163" t="s">
        <v>295</v>
      </c>
      <c r="C34" s="180" t="s">
        <v>205</v>
      </c>
      <c r="D34" s="165">
        <v>1</v>
      </c>
      <c r="E34" s="200">
        <f>Solarpanelsheatexchangercostyear</f>
        <v>2012</v>
      </c>
      <c r="F34" s="204">
        <f>D34*Solarpanelheatexchangerunitcost</f>
        <v>200000</v>
      </c>
      <c r="G34" s="181">
        <v>0</v>
      </c>
      <c r="H34" s="206">
        <f t="shared" si="1"/>
        <v>263361.80739268055</v>
      </c>
      <c r="I34" s="166">
        <v>2012</v>
      </c>
      <c r="J34" s="166"/>
      <c r="K34" s="177">
        <f>Solarpanelsheatexchangerlife</f>
        <v>20</v>
      </c>
      <c r="L34" s="169" t="s">
        <v>444</v>
      </c>
      <c r="M34" s="168">
        <f t="shared" si="22"/>
        <v>0</v>
      </c>
      <c r="N34" s="168">
        <f t="shared" si="22"/>
        <v>0</v>
      </c>
      <c r="O34" s="168">
        <f t="shared" si="22"/>
        <v>0</v>
      </c>
      <c r="P34" s="168">
        <f t="shared" si="22"/>
        <v>0</v>
      </c>
      <c r="Q34" s="168">
        <f t="shared" si="22"/>
        <v>0</v>
      </c>
      <c r="R34" s="168">
        <f t="shared" si="22"/>
        <v>0</v>
      </c>
      <c r="S34" s="168">
        <f t="shared" si="22"/>
        <v>0</v>
      </c>
      <c r="T34" s="168">
        <f t="shared" si="22"/>
        <v>0</v>
      </c>
      <c r="U34" s="168">
        <f t="shared" si="22"/>
        <v>0</v>
      </c>
      <c r="V34" s="168">
        <f t="shared" si="22"/>
        <v>0</v>
      </c>
      <c r="W34" s="168">
        <f t="shared" si="23"/>
        <v>0</v>
      </c>
      <c r="X34" s="168">
        <f t="shared" si="23"/>
        <v>0</v>
      </c>
      <c r="Y34" s="168">
        <f t="shared" si="23"/>
        <v>397958</v>
      </c>
      <c r="Z34" s="168">
        <f t="shared" si="23"/>
        <v>0</v>
      </c>
      <c r="AA34" s="168">
        <f t="shared" si="23"/>
        <v>0</v>
      </c>
      <c r="AB34" s="168">
        <f t="shared" si="23"/>
        <v>0</v>
      </c>
      <c r="AC34" s="168">
        <f t="shared" si="23"/>
        <v>0</v>
      </c>
      <c r="AD34" s="168">
        <f t="shared" si="23"/>
        <v>0</v>
      </c>
      <c r="AE34" s="168">
        <f t="shared" si="23"/>
        <v>0</v>
      </c>
      <c r="AF34" s="168">
        <f t="shared" si="23"/>
        <v>0</v>
      </c>
      <c r="AG34" s="168">
        <f t="shared" si="24"/>
        <v>0</v>
      </c>
      <c r="AH34" s="168">
        <f t="shared" si="24"/>
        <v>0</v>
      </c>
      <c r="AI34" s="168">
        <f t="shared" si="24"/>
        <v>0</v>
      </c>
      <c r="AJ34" s="168">
        <f t="shared" si="24"/>
        <v>0</v>
      </c>
      <c r="AK34" s="168">
        <f t="shared" si="24"/>
        <v>0</v>
      </c>
      <c r="AL34" s="168">
        <f t="shared" si="24"/>
        <v>0</v>
      </c>
      <c r="AM34" s="168">
        <f t="shared" si="24"/>
        <v>0</v>
      </c>
      <c r="AN34" s="168">
        <f t="shared" si="24"/>
        <v>0</v>
      </c>
      <c r="AO34" s="168">
        <f t="shared" si="24"/>
        <v>0</v>
      </c>
      <c r="AP34" s="168">
        <f t="shared" si="24"/>
        <v>0</v>
      </c>
      <c r="AQ34" s="170"/>
      <c r="AR34" s="171">
        <f t="shared" si="5"/>
        <v>397958.0001</v>
      </c>
      <c r="AT34" s="166">
        <f t="shared" si="6"/>
        <v>2012</v>
      </c>
      <c r="AU34" s="166">
        <f t="shared" si="7"/>
        <v>0</v>
      </c>
      <c r="AV34" s="166">
        <v>100</v>
      </c>
      <c r="AW34" s="241">
        <f t="shared" si="8"/>
        <v>0</v>
      </c>
      <c r="AX34" s="166">
        <f t="shared" si="9"/>
        <v>0</v>
      </c>
      <c r="AY34" s="166">
        <f t="shared" si="10"/>
        <v>1</v>
      </c>
      <c r="AZ34" s="242">
        <f t="shared" si="11"/>
        <v>0</v>
      </c>
      <c r="BA34" s="234">
        <f t="shared" si="12"/>
        <v>1</v>
      </c>
      <c r="BB34" s="235">
        <f t="shared" si="13"/>
        <v>0</v>
      </c>
      <c r="BC34" s="235">
        <f t="shared" si="14"/>
        <v>0</v>
      </c>
      <c r="BD34" s="236">
        <f t="shared" si="15"/>
        <v>0</v>
      </c>
    </row>
    <row r="35" spans="1:56" s="163" customFormat="1" ht="16.25" customHeight="1">
      <c r="A35" s="163" t="s">
        <v>234</v>
      </c>
      <c r="B35" s="163" t="s">
        <v>295</v>
      </c>
      <c r="C35" s="180" t="s">
        <v>243</v>
      </c>
      <c r="D35" s="165">
        <v>1</v>
      </c>
      <c r="E35" s="200">
        <f>poolvariablespeedmotorscostyear</f>
        <v>2012</v>
      </c>
      <c r="F35" s="204">
        <f>D35*poolvariablespeedmotorsunitcost</f>
        <v>8000</v>
      </c>
      <c r="G35" s="181">
        <v>0</v>
      </c>
      <c r="H35" s="206">
        <f t="shared" ref="H35:H65" si="25">IF(F35*((1+InflationRate)^(AnalysisYear-E35))&lt;MinimumProjectCost,0,F35*((1+InflationRate)^(AnalysisYear-E35)))</f>
        <v>10534.472295707223</v>
      </c>
      <c r="I35" s="166">
        <v>2012</v>
      </c>
      <c r="J35" s="166">
        <v>4</v>
      </c>
      <c r="K35" s="177">
        <f>poolvariablespeedmotorslife</f>
        <v>5</v>
      </c>
      <c r="L35" s="169" t="s">
        <v>444</v>
      </c>
      <c r="M35" s="168">
        <f t="shared" si="22"/>
        <v>0</v>
      </c>
      <c r="N35" s="168">
        <f t="shared" si="22"/>
        <v>10903</v>
      </c>
      <c r="O35" s="168">
        <f t="shared" si="22"/>
        <v>0</v>
      </c>
      <c r="P35" s="168">
        <f t="shared" si="22"/>
        <v>0</v>
      </c>
      <c r="Q35" s="168">
        <f t="shared" si="22"/>
        <v>0</v>
      </c>
      <c r="R35" s="168">
        <f t="shared" si="22"/>
        <v>0</v>
      </c>
      <c r="S35" s="168">
        <f t="shared" si="22"/>
        <v>12950</v>
      </c>
      <c r="T35" s="168">
        <f t="shared" si="22"/>
        <v>0</v>
      </c>
      <c r="U35" s="168">
        <f t="shared" si="22"/>
        <v>0</v>
      </c>
      <c r="V35" s="168">
        <f t="shared" si="22"/>
        <v>0</v>
      </c>
      <c r="W35" s="168">
        <f t="shared" si="23"/>
        <v>0</v>
      </c>
      <c r="X35" s="168">
        <f t="shared" si="23"/>
        <v>15380</v>
      </c>
      <c r="Y35" s="168">
        <f t="shared" si="23"/>
        <v>0</v>
      </c>
      <c r="Z35" s="168">
        <f t="shared" si="23"/>
        <v>0</v>
      </c>
      <c r="AA35" s="168">
        <f t="shared" si="23"/>
        <v>0</v>
      </c>
      <c r="AB35" s="168">
        <f t="shared" si="23"/>
        <v>0</v>
      </c>
      <c r="AC35" s="168">
        <f t="shared" si="23"/>
        <v>18267</v>
      </c>
      <c r="AD35" s="168">
        <f t="shared" si="23"/>
        <v>0</v>
      </c>
      <c r="AE35" s="168">
        <f t="shared" si="23"/>
        <v>0</v>
      </c>
      <c r="AF35" s="168">
        <f t="shared" si="23"/>
        <v>0</v>
      </c>
      <c r="AG35" s="168">
        <f t="shared" si="24"/>
        <v>0</v>
      </c>
      <c r="AH35" s="168">
        <f t="shared" si="24"/>
        <v>21695</v>
      </c>
      <c r="AI35" s="168">
        <f t="shared" si="24"/>
        <v>0</v>
      </c>
      <c r="AJ35" s="168">
        <f t="shared" si="24"/>
        <v>0</v>
      </c>
      <c r="AK35" s="168">
        <f t="shared" si="24"/>
        <v>0</v>
      </c>
      <c r="AL35" s="168">
        <f t="shared" si="24"/>
        <v>0</v>
      </c>
      <c r="AM35" s="168">
        <f t="shared" si="24"/>
        <v>25767</v>
      </c>
      <c r="AN35" s="168">
        <f t="shared" si="24"/>
        <v>0</v>
      </c>
      <c r="AO35" s="168">
        <f t="shared" si="24"/>
        <v>0</v>
      </c>
      <c r="AP35" s="168">
        <f t="shared" si="24"/>
        <v>0</v>
      </c>
      <c r="AQ35" s="170"/>
      <c r="AR35" s="171">
        <f t="shared" ref="AR35:AR65" si="26">SUM(L35:AQ35)+0.0001</f>
        <v>104962.0001</v>
      </c>
      <c r="AT35" s="166">
        <f t="shared" ref="AT35:AT65" si="27">I35</f>
        <v>2012</v>
      </c>
      <c r="AU35" s="166">
        <f t="shared" ref="AU35:AU65" si="28">J35</f>
        <v>4</v>
      </c>
      <c r="AV35" s="166">
        <v>100</v>
      </c>
      <c r="AW35" s="241">
        <f t="shared" ref="AW35:AW65" si="29">IF($L35="F",1,0)</f>
        <v>0</v>
      </c>
      <c r="AX35" s="166">
        <f t="shared" ref="AX35:AX65" si="30">IF($L35="L",1,0)</f>
        <v>0</v>
      </c>
      <c r="AY35" s="166">
        <f t="shared" ref="AY35:AY65" si="31">IF($L35="T",1,0)</f>
        <v>1</v>
      </c>
      <c r="AZ35" s="242">
        <f t="shared" ref="AZ35:AZ65" si="32">IF($L35="I",1,0)</f>
        <v>0</v>
      </c>
      <c r="BA35" s="234">
        <f t="shared" si="12"/>
        <v>1</v>
      </c>
      <c r="BB35" s="235">
        <f t="shared" si="13"/>
        <v>0</v>
      </c>
      <c r="BC35" s="235">
        <f t="shared" si="14"/>
        <v>0</v>
      </c>
      <c r="BD35" s="236">
        <f t="shared" si="15"/>
        <v>0</v>
      </c>
    </row>
    <row r="36" spans="1:56" s="163" customFormat="1" ht="16.25" customHeight="1">
      <c r="A36" s="163" t="s">
        <v>234</v>
      </c>
      <c r="B36" s="163" t="s">
        <v>295</v>
      </c>
      <c r="C36" s="180" t="s">
        <v>181</v>
      </c>
      <c r="D36" s="165">
        <v>1</v>
      </c>
      <c r="E36" s="201">
        <f>HVAC1motorcostyear</f>
        <v>2018</v>
      </c>
      <c r="F36" s="205">
        <f>D36*HVAC1motorunitcost</f>
        <v>5527</v>
      </c>
      <c r="G36" s="183">
        <v>0</v>
      </c>
      <c r="H36" s="206">
        <f t="shared" si="25"/>
        <v>5920.660574999999</v>
      </c>
      <c r="I36" s="166">
        <v>2012</v>
      </c>
      <c r="K36" s="177">
        <f>HVAC1motorlife</f>
        <v>15</v>
      </c>
      <c r="L36" s="169" t="s">
        <v>444</v>
      </c>
      <c r="M36" s="168">
        <f t="shared" si="22"/>
        <v>0</v>
      </c>
      <c r="N36" s="168">
        <f t="shared" si="22"/>
        <v>0</v>
      </c>
      <c r="O36" s="168">
        <f t="shared" si="22"/>
        <v>0</v>
      </c>
      <c r="P36" s="168">
        <f t="shared" si="22"/>
        <v>0</v>
      </c>
      <c r="Q36" s="168">
        <f t="shared" si="22"/>
        <v>0</v>
      </c>
      <c r="R36" s="168">
        <f t="shared" si="22"/>
        <v>0</v>
      </c>
      <c r="S36" s="168">
        <f t="shared" si="22"/>
        <v>0</v>
      </c>
      <c r="T36" s="168">
        <f t="shared" si="22"/>
        <v>7533</v>
      </c>
      <c r="U36" s="168">
        <f t="shared" si="22"/>
        <v>0</v>
      </c>
      <c r="V36" s="168">
        <f t="shared" si="22"/>
        <v>0</v>
      </c>
      <c r="W36" s="168">
        <f t="shared" si="23"/>
        <v>0</v>
      </c>
      <c r="X36" s="168">
        <f t="shared" si="23"/>
        <v>0</v>
      </c>
      <c r="Y36" s="168">
        <f t="shared" si="23"/>
        <v>0</v>
      </c>
      <c r="Z36" s="168">
        <f t="shared" si="23"/>
        <v>0</v>
      </c>
      <c r="AA36" s="168">
        <f t="shared" si="23"/>
        <v>0</v>
      </c>
      <c r="AB36" s="168">
        <f t="shared" si="23"/>
        <v>0</v>
      </c>
      <c r="AC36" s="168">
        <f t="shared" si="23"/>
        <v>0</v>
      </c>
      <c r="AD36" s="168">
        <f t="shared" si="23"/>
        <v>0</v>
      </c>
      <c r="AE36" s="168">
        <f t="shared" si="23"/>
        <v>0</v>
      </c>
      <c r="AF36" s="168">
        <f t="shared" si="23"/>
        <v>0</v>
      </c>
      <c r="AG36" s="168">
        <f t="shared" si="24"/>
        <v>0</v>
      </c>
      <c r="AH36" s="168">
        <f t="shared" si="24"/>
        <v>0</v>
      </c>
      <c r="AI36" s="168">
        <f t="shared" si="24"/>
        <v>12620</v>
      </c>
      <c r="AJ36" s="168">
        <f t="shared" si="24"/>
        <v>0</v>
      </c>
      <c r="AK36" s="168">
        <f t="shared" si="24"/>
        <v>0</v>
      </c>
      <c r="AL36" s="168">
        <f t="shared" si="24"/>
        <v>0</v>
      </c>
      <c r="AM36" s="168">
        <f t="shared" si="24"/>
        <v>0</v>
      </c>
      <c r="AN36" s="168">
        <f t="shared" si="24"/>
        <v>0</v>
      </c>
      <c r="AO36" s="168">
        <f t="shared" si="24"/>
        <v>0</v>
      </c>
      <c r="AP36" s="168">
        <f t="shared" si="24"/>
        <v>0</v>
      </c>
      <c r="AQ36" s="170"/>
      <c r="AR36" s="171">
        <f t="shared" si="26"/>
        <v>20153.000100000001</v>
      </c>
      <c r="AT36" s="166">
        <f t="shared" si="27"/>
        <v>2012</v>
      </c>
      <c r="AU36" s="166">
        <f t="shared" si="28"/>
        <v>0</v>
      </c>
      <c r="AV36" s="166">
        <v>100</v>
      </c>
      <c r="AW36" s="241">
        <f t="shared" si="29"/>
        <v>0</v>
      </c>
      <c r="AX36" s="166">
        <f t="shared" si="30"/>
        <v>0</v>
      </c>
      <c r="AY36" s="166">
        <f t="shared" si="31"/>
        <v>1</v>
      </c>
      <c r="AZ36" s="242">
        <f t="shared" si="32"/>
        <v>0</v>
      </c>
      <c r="BA36" s="234">
        <f t="shared" si="12"/>
        <v>1</v>
      </c>
      <c r="BB36" s="235">
        <f t="shared" si="13"/>
        <v>0</v>
      </c>
      <c r="BC36" s="235">
        <f t="shared" si="14"/>
        <v>0</v>
      </c>
      <c r="BD36" s="236">
        <f t="shared" si="15"/>
        <v>0</v>
      </c>
    </row>
    <row r="37" spans="1:56" s="163" customFormat="1" ht="16.25" customHeight="1">
      <c r="A37" s="163" t="s">
        <v>234</v>
      </c>
      <c r="B37" s="163" t="s">
        <v>295</v>
      </c>
      <c r="C37" s="180" t="s">
        <v>178</v>
      </c>
      <c r="D37" s="165">
        <v>1</v>
      </c>
      <c r="E37" s="201">
        <f>HVAC1Compressor1costyear</f>
        <v>2018</v>
      </c>
      <c r="F37" s="205">
        <f>D37*HVAC1Compressor1unitcost</f>
        <v>7068</v>
      </c>
      <c r="G37" s="183">
        <v>0</v>
      </c>
      <c r="H37" s="206">
        <f t="shared" si="25"/>
        <v>7571.4182999999994</v>
      </c>
      <c r="I37" s="166">
        <v>2012</v>
      </c>
      <c r="K37" s="177">
        <f>HVAC1Compressor1life</f>
        <v>15</v>
      </c>
      <c r="L37" s="169" t="s">
        <v>444</v>
      </c>
      <c r="M37" s="168">
        <f t="shared" si="22"/>
        <v>0</v>
      </c>
      <c r="N37" s="168">
        <f t="shared" si="22"/>
        <v>0</v>
      </c>
      <c r="O37" s="168">
        <f t="shared" si="22"/>
        <v>0</v>
      </c>
      <c r="P37" s="168">
        <f t="shared" si="22"/>
        <v>0</v>
      </c>
      <c r="Q37" s="168">
        <f t="shared" si="22"/>
        <v>0</v>
      </c>
      <c r="R37" s="168">
        <f t="shared" si="22"/>
        <v>0</v>
      </c>
      <c r="S37" s="168">
        <f t="shared" si="22"/>
        <v>0</v>
      </c>
      <c r="T37" s="168">
        <f t="shared" si="22"/>
        <v>9633</v>
      </c>
      <c r="U37" s="168">
        <f t="shared" si="22"/>
        <v>0</v>
      </c>
      <c r="V37" s="168">
        <f t="shared" si="22"/>
        <v>0</v>
      </c>
      <c r="W37" s="168">
        <f t="shared" si="23"/>
        <v>0</v>
      </c>
      <c r="X37" s="168">
        <f t="shared" si="23"/>
        <v>0</v>
      </c>
      <c r="Y37" s="168">
        <f t="shared" si="23"/>
        <v>0</v>
      </c>
      <c r="Z37" s="168">
        <f t="shared" si="23"/>
        <v>0</v>
      </c>
      <c r="AA37" s="168">
        <f t="shared" si="23"/>
        <v>0</v>
      </c>
      <c r="AB37" s="168">
        <f t="shared" si="23"/>
        <v>0</v>
      </c>
      <c r="AC37" s="168">
        <f t="shared" si="23"/>
        <v>0</v>
      </c>
      <c r="AD37" s="168">
        <f t="shared" si="23"/>
        <v>0</v>
      </c>
      <c r="AE37" s="168">
        <f t="shared" si="23"/>
        <v>0</v>
      </c>
      <c r="AF37" s="168">
        <f t="shared" si="23"/>
        <v>0</v>
      </c>
      <c r="AG37" s="168">
        <f t="shared" si="24"/>
        <v>0</v>
      </c>
      <c r="AH37" s="168">
        <f t="shared" si="24"/>
        <v>0</v>
      </c>
      <c r="AI37" s="168">
        <f t="shared" si="24"/>
        <v>16139</v>
      </c>
      <c r="AJ37" s="168">
        <f t="shared" si="24"/>
        <v>0</v>
      </c>
      <c r="AK37" s="168">
        <f t="shared" si="24"/>
        <v>0</v>
      </c>
      <c r="AL37" s="168">
        <f t="shared" si="24"/>
        <v>0</v>
      </c>
      <c r="AM37" s="168">
        <f t="shared" si="24"/>
        <v>0</v>
      </c>
      <c r="AN37" s="168">
        <f t="shared" si="24"/>
        <v>0</v>
      </c>
      <c r="AO37" s="168">
        <f t="shared" si="24"/>
        <v>0</v>
      </c>
      <c r="AP37" s="168">
        <f t="shared" si="24"/>
        <v>0</v>
      </c>
      <c r="AQ37" s="170"/>
      <c r="AR37" s="171">
        <f t="shared" si="26"/>
        <v>25772.000100000001</v>
      </c>
      <c r="AT37" s="166">
        <f t="shared" si="27"/>
        <v>2012</v>
      </c>
      <c r="AU37" s="166">
        <f t="shared" si="28"/>
        <v>0</v>
      </c>
      <c r="AV37" s="166">
        <v>100</v>
      </c>
      <c r="AW37" s="241">
        <f t="shared" si="29"/>
        <v>0</v>
      </c>
      <c r="AX37" s="166">
        <f t="shared" si="30"/>
        <v>0</v>
      </c>
      <c r="AY37" s="166">
        <f t="shared" si="31"/>
        <v>1</v>
      </c>
      <c r="AZ37" s="242">
        <f t="shared" si="32"/>
        <v>0</v>
      </c>
      <c r="BA37" s="234">
        <f t="shared" si="12"/>
        <v>1</v>
      </c>
      <c r="BB37" s="235">
        <f t="shared" si="13"/>
        <v>0</v>
      </c>
      <c r="BC37" s="235">
        <f t="shared" si="14"/>
        <v>0</v>
      </c>
      <c r="BD37" s="236">
        <f t="shared" si="15"/>
        <v>0</v>
      </c>
    </row>
    <row r="38" spans="1:56" s="163" customFormat="1" ht="16.25" customHeight="1">
      <c r="A38" s="163" t="s">
        <v>234</v>
      </c>
      <c r="B38" s="163" t="s">
        <v>295</v>
      </c>
      <c r="C38" s="180" t="s">
        <v>179</v>
      </c>
      <c r="D38" s="165">
        <v>1</v>
      </c>
      <c r="E38" s="201">
        <f>HVAC1Compressor2costyear</f>
        <v>2018</v>
      </c>
      <c r="F38" s="205">
        <f>D38*HVAC1Compressor2unitcost</f>
        <v>5864</v>
      </c>
      <c r="G38" s="183">
        <v>0</v>
      </c>
      <c r="H38" s="206">
        <f t="shared" si="25"/>
        <v>6281.6633999999995</v>
      </c>
      <c r="I38" s="166">
        <v>2012</v>
      </c>
      <c r="K38" s="177">
        <f>HVAC1Compressor1life</f>
        <v>15</v>
      </c>
      <c r="L38" s="169" t="s">
        <v>444</v>
      </c>
      <c r="M38" s="168">
        <f t="shared" si="22"/>
        <v>0</v>
      </c>
      <c r="N38" s="168">
        <f t="shared" si="22"/>
        <v>0</v>
      </c>
      <c r="O38" s="168">
        <f t="shared" si="22"/>
        <v>0</v>
      </c>
      <c r="P38" s="168">
        <f t="shared" si="22"/>
        <v>0</v>
      </c>
      <c r="Q38" s="168">
        <f t="shared" si="22"/>
        <v>0</v>
      </c>
      <c r="R38" s="168">
        <f t="shared" si="22"/>
        <v>0</v>
      </c>
      <c r="S38" s="168">
        <f t="shared" si="22"/>
        <v>0</v>
      </c>
      <c r="T38" s="168">
        <f t="shared" si="22"/>
        <v>7992</v>
      </c>
      <c r="U38" s="168">
        <f t="shared" si="22"/>
        <v>0</v>
      </c>
      <c r="V38" s="168">
        <f t="shared" si="22"/>
        <v>0</v>
      </c>
      <c r="W38" s="168">
        <f t="shared" si="23"/>
        <v>0</v>
      </c>
      <c r="X38" s="168">
        <f t="shared" si="23"/>
        <v>0</v>
      </c>
      <c r="Y38" s="168">
        <f t="shared" si="23"/>
        <v>0</v>
      </c>
      <c r="Z38" s="168">
        <f t="shared" si="23"/>
        <v>0</v>
      </c>
      <c r="AA38" s="168">
        <f t="shared" si="23"/>
        <v>0</v>
      </c>
      <c r="AB38" s="168">
        <f t="shared" si="23"/>
        <v>0</v>
      </c>
      <c r="AC38" s="168">
        <f t="shared" si="23"/>
        <v>0</v>
      </c>
      <c r="AD38" s="168">
        <f t="shared" si="23"/>
        <v>0</v>
      </c>
      <c r="AE38" s="168">
        <f t="shared" si="23"/>
        <v>0</v>
      </c>
      <c r="AF38" s="168">
        <f t="shared" si="23"/>
        <v>0</v>
      </c>
      <c r="AG38" s="168">
        <f t="shared" si="24"/>
        <v>0</v>
      </c>
      <c r="AH38" s="168">
        <f t="shared" si="24"/>
        <v>0</v>
      </c>
      <c r="AI38" s="168">
        <f t="shared" si="24"/>
        <v>13389</v>
      </c>
      <c r="AJ38" s="168">
        <f t="shared" si="24"/>
        <v>0</v>
      </c>
      <c r="AK38" s="168">
        <f t="shared" si="24"/>
        <v>0</v>
      </c>
      <c r="AL38" s="168">
        <f t="shared" si="24"/>
        <v>0</v>
      </c>
      <c r="AM38" s="168">
        <f t="shared" si="24"/>
        <v>0</v>
      </c>
      <c r="AN38" s="168">
        <f t="shared" si="24"/>
        <v>0</v>
      </c>
      <c r="AO38" s="168">
        <f t="shared" si="24"/>
        <v>0</v>
      </c>
      <c r="AP38" s="168">
        <f t="shared" si="24"/>
        <v>0</v>
      </c>
      <c r="AQ38" s="170"/>
      <c r="AR38" s="171">
        <f t="shared" si="26"/>
        <v>21381.000100000001</v>
      </c>
      <c r="AT38" s="166">
        <f t="shared" si="27"/>
        <v>2012</v>
      </c>
      <c r="AU38" s="166">
        <f t="shared" si="28"/>
        <v>0</v>
      </c>
      <c r="AV38" s="166">
        <v>100</v>
      </c>
      <c r="AW38" s="241">
        <f t="shared" si="29"/>
        <v>0</v>
      </c>
      <c r="AX38" s="166">
        <f t="shared" si="30"/>
        <v>0</v>
      </c>
      <c r="AY38" s="166">
        <f t="shared" si="31"/>
        <v>1</v>
      </c>
      <c r="AZ38" s="242">
        <f t="shared" si="32"/>
        <v>0</v>
      </c>
      <c r="BA38" s="234">
        <f t="shared" si="12"/>
        <v>1</v>
      </c>
      <c r="BB38" s="235">
        <f t="shared" si="13"/>
        <v>0</v>
      </c>
      <c r="BC38" s="235">
        <f t="shared" si="14"/>
        <v>0</v>
      </c>
      <c r="BD38" s="236">
        <f t="shared" si="15"/>
        <v>0</v>
      </c>
    </row>
    <row r="39" spans="1:56" s="163" customFormat="1" ht="16.25" customHeight="1">
      <c r="A39" s="163" t="s">
        <v>234</v>
      </c>
      <c r="B39" s="163" t="s">
        <v>295</v>
      </c>
      <c r="C39" s="180" t="s">
        <v>180</v>
      </c>
      <c r="D39" s="165">
        <v>1</v>
      </c>
      <c r="E39" s="201">
        <f>HVAC1IndoorCoilCostYear</f>
        <v>2018</v>
      </c>
      <c r="F39" s="205">
        <f>D39*HVAC1IndoorCoilUnitcost</f>
        <v>15445</v>
      </c>
      <c r="G39" s="183">
        <v>0</v>
      </c>
      <c r="H39" s="206">
        <f t="shared" si="25"/>
        <v>16545.070124999998</v>
      </c>
      <c r="I39" s="166">
        <v>2012</v>
      </c>
      <c r="K39" s="177">
        <f>HVAC1IndoorCoilLife</f>
        <v>15</v>
      </c>
      <c r="L39" s="169" t="s">
        <v>444</v>
      </c>
      <c r="M39" s="168">
        <f t="shared" si="22"/>
        <v>0</v>
      </c>
      <c r="N39" s="168">
        <f t="shared" si="22"/>
        <v>0</v>
      </c>
      <c r="O39" s="168">
        <f t="shared" si="22"/>
        <v>0</v>
      </c>
      <c r="P39" s="168">
        <f t="shared" si="22"/>
        <v>0</v>
      </c>
      <c r="Q39" s="168">
        <f t="shared" si="22"/>
        <v>0</v>
      </c>
      <c r="R39" s="168">
        <f t="shared" si="22"/>
        <v>0</v>
      </c>
      <c r="S39" s="168">
        <f t="shared" si="22"/>
        <v>0</v>
      </c>
      <c r="T39" s="168">
        <f t="shared" si="22"/>
        <v>21050</v>
      </c>
      <c r="U39" s="168">
        <f t="shared" si="22"/>
        <v>0</v>
      </c>
      <c r="V39" s="168">
        <f t="shared" si="22"/>
        <v>0</v>
      </c>
      <c r="W39" s="168">
        <f t="shared" si="23"/>
        <v>0</v>
      </c>
      <c r="X39" s="168">
        <f t="shared" si="23"/>
        <v>0</v>
      </c>
      <c r="Y39" s="168">
        <f t="shared" si="23"/>
        <v>0</v>
      </c>
      <c r="Z39" s="168">
        <f t="shared" si="23"/>
        <v>0</v>
      </c>
      <c r="AA39" s="168">
        <f t="shared" si="23"/>
        <v>0</v>
      </c>
      <c r="AB39" s="168">
        <f t="shared" si="23"/>
        <v>0</v>
      </c>
      <c r="AC39" s="168">
        <f t="shared" si="23"/>
        <v>0</v>
      </c>
      <c r="AD39" s="168">
        <f t="shared" si="23"/>
        <v>0</v>
      </c>
      <c r="AE39" s="168">
        <f t="shared" si="23"/>
        <v>0</v>
      </c>
      <c r="AF39" s="168">
        <f t="shared" si="23"/>
        <v>0</v>
      </c>
      <c r="AG39" s="168">
        <f t="shared" si="24"/>
        <v>0</v>
      </c>
      <c r="AH39" s="168">
        <f t="shared" si="24"/>
        <v>0</v>
      </c>
      <c r="AI39" s="168">
        <f t="shared" si="24"/>
        <v>35266</v>
      </c>
      <c r="AJ39" s="168">
        <f t="shared" si="24"/>
        <v>0</v>
      </c>
      <c r="AK39" s="168">
        <f t="shared" si="24"/>
        <v>0</v>
      </c>
      <c r="AL39" s="168">
        <f t="shared" si="24"/>
        <v>0</v>
      </c>
      <c r="AM39" s="168">
        <f t="shared" si="24"/>
        <v>0</v>
      </c>
      <c r="AN39" s="168">
        <f t="shared" si="24"/>
        <v>0</v>
      </c>
      <c r="AO39" s="168">
        <f t="shared" si="24"/>
        <v>0</v>
      </c>
      <c r="AP39" s="168">
        <f t="shared" si="24"/>
        <v>0</v>
      </c>
      <c r="AQ39" s="170"/>
      <c r="AR39" s="171">
        <f t="shared" si="26"/>
        <v>56316.000099999997</v>
      </c>
      <c r="AT39" s="166">
        <f t="shared" si="27"/>
        <v>2012</v>
      </c>
      <c r="AU39" s="166">
        <f t="shared" si="28"/>
        <v>0</v>
      </c>
      <c r="AV39" s="166">
        <v>100</v>
      </c>
      <c r="AW39" s="241">
        <f t="shared" si="29"/>
        <v>0</v>
      </c>
      <c r="AX39" s="166">
        <f t="shared" si="30"/>
        <v>0</v>
      </c>
      <c r="AY39" s="166">
        <f t="shared" si="31"/>
        <v>1</v>
      </c>
      <c r="AZ39" s="242">
        <f t="shared" si="32"/>
        <v>0</v>
      </c>
      <c r="BA39" s="234">
        <f t="shared" si="12"/>
        <v>1</v>
      </c>
      <c r="BB39" s="235">
        <f t="shared" si="13"/>
        <v>0</v>
      </c>
      <c r="BC39" s="235">
        <f t="shared" si="14"/>
        <v>0</v>
      </c>
      <c r="BD39" s="236">
        <f t="shared" si="15"/>
        <v>0</v>
      </c>
    </row>
    <row r="40" spans="1:56" s="163" customFormat="1" ht="16.25" customHeight="1">
      <c r="A40" s="163" t="s">
        <v>234</v>
      </c>
      <c r="B40" s="163" t="s">
        <v>295</v>
      </c>
      <c r="C40" s="180" t="s">
        <v>182</v>
      </c>
      <c r="D40" s="165">
        <v>1</v>
      </c>
      <c r="E40" s="201">
        <f>HVAC1Motherboardcostyear</f>
        <v>2018</v>
      </c>
      <c r="F40" s="205">
        <f>D40*HVAC1Motherboardunitcost</f>
        <v>5157</v>
      </c>
      <c r="G40" s="183">
        <v>0</v>
      </c>
      <c r="H40" s="206">
        <f t="shared" si="25"/>
        <v>5524.3073249999998</v>
      </c>
      <c r="I40" s="166">
        <v>2012</v>
      </c>
      <c r="K40" s="177">
        <f>HVAC1Motherboardlife</f>
        <v>15</v>
      </c>
      <c r="L40" s="169" t="s">
        <v>444</v>
      </c>
      <c r="M40" s="168">
        <f t="shared" si="22"/>
        <v>0</v>
      </c>
      <c r="N40" s="168">
        <f t="shared" si="22"/>
        <v>0</v>
      </c>
      <c r="O40" s="168">
        <f t="shared" si="22"/>
        <v>0</v>
      </c>
      <c r="P40" s="168">
        <f t="shared" si="22"/>
        <v>0</v>
      </c>
      <c r="Q40" s="168">
        <f t="shared" si="22"/>
        <v>0</v>
      </c>
      <c r="R40" s="168">
        <f t="shared" si="22"/>
        <v>0</v>
      </c>
      <c r="S40" s="168">
        <f t="shared" si="22"/>
        <v>0</v>
      </c>
      <c r="T40" s="168">
        <f t="shared" si="22"/>
        <v>7028</v>
      </c>
      <c r="U40" s="168">
        <f t="shared" si="22"/>
        <v>0</v>
      </c>
      <c r="V40" s="168">
        <f t="shared" si="22"/>
        <v>0</v>
      </c>
      <c r="W40" s="168">
        <f t="shared" si="23"/>
        <v>0</v>
      </c>
      <c r="X40" s="168">
        <f t="shared" si="23"/>
        <v>0</v>
      </c>
      <c r="Y40" s="168">
        <f t="shared" si="23"/>
        <v>0</v>
      </c>
      <c r="Z40" s="168">
        <f t="shared" si="23"/>
        <v>0</v>
      </c>
      <c r="AA40" s="168">
        <f t="shared" si="23"/>
        <v>0</v>
      </c>
      <c r="AB40" s="168">
        <f t="shared" si="23"/>
        <v>0</v>
      </c>
      <c r="AC40" s="168">
        <f t="shared" si="23"/>
        <v>0</v>
      </c>
      <c r="AD40" s="168">
        <f t="shared" si="23"/>
        <v>0</v>
      </c>
      <c r="AE40" s="168">
        <f t="shared" si="23"/>
        <v>0</v>
      </c>
      <c r="AF40" s="168">
        <f t="shared" si="23"/>
        <v>0</v>
      </c>
      <c r="AG40" s="168">
        <f t="shared" si="24"/>
        <v>0</v>
      </c>
      <c r="AH40" s="168">
        <f t="shared" si="24"/>
        <v>0</v>
      </c>
      <c r="AI40" s="168">
        <f t="shared" si="24"/>
        <v>11775</v>
      </c>
      <c r="AJ40" s="168">
        <f t="shared" si="24"/>
        <v>0</v>
      </c>
      <c r="AK40" s="168">
        <f t="shared" si="24"/>
        <v>0</v>
      </c>
      <c r="AL40" s="168">
        <f t="shared" si="24"/>
        <v>0</v>
      </c>
      <c r="AM40" s="168">
        <f t="shared" si="24"/>
        <v>0</v>
      </c>
      <c r="AN40" s="168">
        <f t="shared" si="24"/>
        <v>0</v>
      </c>
      <c r="AO40" s="168">
        <f t="shared" si="24"/>
        <v>0</v>
      </c>
      <c r="AP40" s="168">
        <f t="shared" si="24"/>
        <v>0</v>
      </c>
      <c r="AQ40" s="170"/>
      <c r="AR40" s="171">
        <f t="shared" si="26"/>
        <v>18803.000100000001</v>
      </c>
      <c r="AT40" s="166">
        <f t="shared" si="27"/>
        <v>2012</v>
      </c>
      <c r="AU40" s="166">
        <f t="shared" si="28"/>
        <v>0</v>
      </c>
      <c r="AV40" s="166">
        <v>100</v>
      </c>
      <c r="AW40" s="241">
        <f t="shared" si="29"/>
        <v>0</v>
      </c>
      <c r="AX40" s="166">
        <f t="shared" si="30"/>
        <v>0</v>
      </c>
      <c r="AY40" s="166">
        <f t="shared" si="31"/>
        <v>1</v>
      </c>
      <c r="AZ40" s="242">
        <f t="shared" si="32"/>
        <v>0</v>
      </c>
      <c r="BA40" s="234">
        <f t="shared" si="12"/>
        <v>1</v>
      </c>
      <c r="BB40" s="235">
        <f t="shared" si="13"/>
        <v>0</v>
      </c>
      <c r="BC40" s="235">
        <f t="shared" si="14"/>
        <v>0</v>
      </c>
      <c r="BD40" s="236">
        <f t="shared" si="15"/>
        <v>0</v>
      </c>
    </row>
    <row r="41" spans="1:56" s="163" customFormat="1" ht="16.25" customHeight="1">
      <c r="A41" s="163" t="s">
        <v>234</v>
      </c>
      <c r="B41" s="163" t="s">
        <v>295</v>
      </c>
      <c r="C41" s="180" t="s">
        <v>217</v>
      </c>
      <c r="D41" s="165">
        <v>1</v>
      </c>
      <c r="E41" s="201">
        <f>HVAC1Outdoorcoilcostyear</f>
        <v>2018</v>
      </c>
      <c r="F41" s="205">
        <f>D41*HVAC1outdoorcoilunitcost</f>
        <v>5086</v>
      </c>
      <c r="G41" s="183">
        <v>0</v>
      </c>
      <c r="H41" s="206">
        <f t="shared" si="25"/>
        <v>5448.2503499999993</v>
      </c>
      <c r="I41" s="166">
        <v>2012</v>
      </c>
      <c r="K41" s="177">
        <f>HVAC1outdoorcoillife</f>
        <v>15</v>
      </c>
      <c r="L41" s="169" t="s">
        <v>444</v>
      </c>
      <c r="M41" s="168">
        <f t="shared" si="22"/>
        <v>0</v>
      </c>
      <c r="N41" s="168">
        <f t="shared" si="22"/>
        <v>0</v>
      </c>
      <c r="O41" s="168">
        <f t="shared" si="22"/>
        <v>0</v>
      </c>
      <c r="P41" s="168">
        <f t="shared" si="22"/>
        <v>0</v>
      </c>
      <c r="Q41" s="168">
        <f t="shared" si="22"/>
        <v>0</v>
      </c>
      <c r="R41" s="168">
        <f t="shared" si="22"/>
        <v>0</v>
      </c>
      <c r="S41" s="168">
        <f t="shared" si="22"/>
        <v>0</v>
      </c>
      <c r="T41" s="168">
        <f t="shared" si="22"/>
        <v>6932</v>
      </c>
      <c r="U41" s="168">
        <f t="shared" si="22"/>
        <v>0</v>
      </c>
      <c r="V41" s="168">
        <f t="shared" si="22"/>
        <v>0</v>
      </c>
      <c r="W41" s="168">
        <f t="shared" si="23"/>
        <v>0</v>
      </c>
      <c r="X41" s="168">
        <f t="shared" si="23"/>
        <v>0</v>
      </c>
      <c r="Y41" s="168">
        <f t="shared" si="23"/>
        <v>0</v>
      </c>
      <c r="Z41" s="168">
        <f t="shared" si="23"/>
        <v>0</v>
      </c>
      <c r="AA41" s="168">
        <f t="shared" si="23"/>
        <v>0</v>
      </c>
      <c r="AB41" s="168">
        <f t="shared" si="23"/>
        <v>0</v>
      </c>
      <c r="AC41" s="168">
        <f t="shared" si="23"/>
        <v>0</v>
      </c>
      <c r="AD41" s="168">
        <f t="shared" si="23"/>
        <v>0</v>
      </c>
      <c r="AE41" s="168">
        <f t="shared" si="23"/>
        <v>0</v>
      </c>
      <c r="AF41" s="168">
        <f t="shared" si="23"/>
        <v>0</v>
      </c>
      <c r="AG41" s="168">
        <f t="shared" si="24"/>
        <v>0</v>
      </c>
      <c r="AH41" s="168">
        <f t="shared" si="24"/>
        <v>0</v>
      </c>
      <c r="AI41" s="168">
        <f t="shared" si="24"/>
        <v>11613</v>
      </c>
      <c r="AJ41" s="168">
        <f t="shared" si="24"/>
        <v>0</v>
      </c>
      <c r="AK41" s="168">
        <f t="shared" si="24"/>
        <v>0</v>
      </c>
      <c r="AL41" s="168">
        <f t="shared" si="24"/>
        <v>0</v>
      </c>
      <c r="AM41" s="168">
        <f t="shared" si="24"/>
        <v>0</v>
      </c>
      <c r="AN41" s="168">
        <f t="shared" si="24"/>
        <v>0</v>
      </c>
      <c r="AO41" s="168">
        <f t="shared" si="24"/>
        <v>0</v>
      </c>
      <c r="AP41" s="168">
        <f t="shared" si="24"/>
        <v>0</v>
      </c>
      <c r="AQ41" s="170"/>
      <c r="AR41" s="171">
        <f t="shared" si="26"/>
        <v>18545.000100000001</v>
      </c>
      <c r="AT41" s="166">
        <f t="shared" si="27"/>
        <v>2012</v>
      </c>
      <c r="AU41" s="166">
        <f t="shared" si="28"/>
        <v>0</v>
      </c>
      <c r="AV41" s="166">
        <v>100</v>
      </c>
      <c r="AW41" s="241">
        <f t="shared" si="29"/>
        <v>0</v>
      </c>
      <c r="AX41" s="166">
        <f t="shared" si="30"/>
        <v>0</v>
      </c>
      <c r="AY41" s="166">
        <f t="shared" si="31"/>
        <v>1</v>
      </c>
      <c r="AZ41" s="242">
        <f t="shared" si="32"/>
        <v>0</v>
      </c>
      <c r="BA41" s="234">
        <f t="shared" si="12"/>
        <v>1</v>
      </c>
      <c r="BB41" s="235">
        <f t="shared" si="13"/>
        <v>0</v>
      </c>
      <c r="BC41" s="235">
        <f t="shared" si="14"/>
        <v>0</v>
      </c>
      <c r="BD41" s="236">
        <f t="shared" si="15"/>
        <v>0</v>
      </c>
    </row>
    <row r="42" spans="1:56" s="163" customFormat="1" ht="16.25" customHeight="1">
      <c r="A42" s="163" t="s">
        <v>234</v>
      </c>
      <c r="B42" s="163" t="s">
        <v>244</v>
      </c>
      <c r="C42" s="164" t="s">
        <v>46</v>
      </c>
      <c r="D42" s="166">
        <v>350</v>
      </c>
      <c r="E42" s="177">
        <f>auditoriumchairscostyear</f>
        <v>2019</v>
      </c>
      <c r="F42" s="203">
        <f>D42*auditoriumchairsunitcost</f>
        <v>20650</v>
      </c>
      <c r="G42" s="167">
        <v>20490</v>
      </c>
      <c r="H42" s="206">
        <f t="shared" si="25"/>
        <v>21372.75</v>
      </c>
      <c r="I42" s="166">
        <v>2019</v>
      </c>
      <c r="J42" s="166">
        <v>0</v>
      </c>
      <c r="K42" s="177">
        <f>auditoriumchairslife</f>
        <v>10</v>
      </c>
      <c r="L42" s="169" t="s">
        <v>444</v>
      </c>
      <c r="M42" s="168">
        <f t="shared" si="22"/>
        <v>0</v>
      </c>
      <c r="N42" s="168">
        <f t="shared" si="22"/>
        <v>0</v>
      </c>
      <c r="O42" s="168">
        <f t="shared" si="22"/>
        <v>0</v>
      </c>
      <c r="P42" s="168">
        <f t="shared" si="22"/>
        <v>0</v>
      </c>
      <c r="Q42" s="168">
        <f t="shared" si="22"/>
        <v>0</v>
      </c>
      <c r="R42" s="168">
        <f t="shared" si="22"/>
        <v>0</v>
      </c>
      <c r="S42" s="168">
        <f t="shared" si="22"/>
        <v>0</v>
      </c>
      <c r="T42" s="168">
        <f t="shared" si="22"/>
        <v>0</v>
      </c>
      <c r="U42" s="168">
        <f t="shared" si="22"/>
        <v>0</v>
      </c>
      <c r="V42" s="168">
        <f t="shared" si="22"/>
        <v>29129</v>
      </c>
      <c r="W42" s="168">
        <f t="shared" si="23"/>
        <v>0</v>
      </c>
      <c r="X42" s="168">
        <f t="shared" si="23"/>
        <v>0</v>
      </c>
      <c r="Y42" s="168">
        <f t="shared" si="23"/>
        <v>0</v>
      </c>
      <c r="Z42" s="168">
        <f t="shared" si="23"/>
        <v>0</v>
      </c>
      <c r="AA42" s="168">
        <f t="shared" si="23"/>
        <v>0</v>
      </c>
      <c r="AB42" s="168">
        <f t="shared" si="23"/>
        <v>0</v>
      </c>
      <c r="AC42" s="168">
        <f t="shared" si="23"/>
        <v>0</v>
      </c>
      <c r="AD42" s="168">
        <f t="shared" si="23"/>
        <v>0</v>
      </c>
      <c r="AE42" s="168">
        <f t="shared" si="23"/>
        <v>0</v>
      </c>
      <c r="AF42" s="168">
        <f t="shared" si="23"/>
        <v>41089</v>
      </c>
      <c r="AG42" s="168">
        <f t="shared" si="24"/>
        <v>0</v>
      </c>
      <c r="AH42" s="168">
        <f t="shared" si="24"/>
        <v>0</v>
      </c>
      <c r="AI42" s="168">
        <f t="shared" si="24"/>
        <v>0</v>
      </c>
      <c r="AJ42" s="168">
        <f t="shared" si="24"/>
        <v>0</v>
      </c>
      <c r="AK42" s="168">
        <f t="shared" si="24"/>
        <v>0</v>
      </c>
      <c r="AL42" s="168">
        <f t="shared" si="24"/>
        <v>0</v>
      </c>
      <c r="AM42" s="168">
        <f t="shared" si="24"/>
        <v>0</v>
      </c>
      <c r="AN42" s="168">
        <f t="shared" si="24"/>
        <v>0</v>
      </c>
      <c r="AO42" s="168">
        <f t="shared" si="24"/>
        <v>0</v>
      </c>
      <c r="AP42" s="168">
        <f t="shared" si="24"/>
        <v>57960</v>
      </c>
      <c r="AQ42" s="170"/>
      <c r="AR42" s="171">
        <f t="shared" si="26"/>
        <v>128178.0001</v>
      </c>
      <c r="AT42" s="166">
        <f t="shared" si="27"/>
        <v>2019</v>
      </c>
      <c r="AU42" s="166">
        <f t="shared" si="28"/>
        <v>0</v>
      </c>
      <c r="AV42" s="166">
        <v>100</v>
      </c>
      <c r="AW42" s="241">
        <f t="shared" si="29"/>
        <v>0</v>
      </c>
      <c r="AX42" s="166">
        <f t="shared" si="30"/>
        <v>0</v>
      </c>
      <c r="AY42" s="166">
        <f t="shared" si="31"/>
        <v>1</v>
      </c>
      <c r="AZ42" s="242">
        <f t="shared" si="32"/>
        <v>0</v>
      </c>
      <c r="BA42" s="234">
        <f t="shared" si="12"/>
        <v>1</v>
      </c>
      <c r="BB42" s="235">
        <f t="shared" si="13"/>
        <v>0</v>
      </c>
      <c r="BC42" s="235">
        <f t="shared" si="14"/>
        <v>0</v>
      </c>
      <c r="BD42" s="236">
        <f t="shared" si="15"/>
        <v>0</v>
      </c>
    </row>
    <row r="43" spans="1:56" s="163" customFormat="1" ht="16.25" customHeight="1">
      <c r="A43" s="163" t="s">
        <v>234</v>
      </c>
      <c r="B43" s="163" t="s">
        <v>244</v>
      </c>
      <c r="C43" s="180" t="s">
        <v>302</v>
      </c>
      <c r="D43" s="165">
        <v>1</v>
      </c>
      <c r="E43" s="201">
        <f>auditoriumcurtaincostyear</f>
        <v>2019</v>
      </c>
      <c r="F43" s="205">
        <f>D43*auditoriumcurtainunitcost</f>
        <v>10000</v>
      </c>
      <c r="G43" s="183">
        <v>0</v>
      </c>
      <c r="H43" s="206">
        <f t="shared" si="25"/>
        <v>10350</v>
      </c>
      <c r="I43" s="166">
        <v>2012</v>
      </c>
      <c r="K43" s="177">
        <f>auditoriumcurtainlife</f>
        <v>15</v>
      </c>
      <c r="L43" s="169" t="s">
        <v>444</v>
      </c>
      <c r="M43" s="168">
        <f t="shared" ref="M43:V52" si="33">ROUND($H43*IF(AND(M$1&gt;=($I43+$J43),MOD(M$1-($I43+$J43),$K43)=0),(1+InflationRate)^(M$1-AnalysisYear),0),0)*IF(AND(M$1&gt;=($AT43+$AU43),(M$1-($AT43+$AU43))&lt;&gt;0,MOD(M$1-($AT43+$AU43),$AV43)=0),0,1)</f>
        <v>0</v>
      </c>
      <c r="N43" s="168">
        <f t="shared" si="33"/>
        <v>0</v>
      </c>
      <c r="O43" s="168">
        <f t="shared" si="33"/>
        <v>0</v>
      </c>
      <c r="P43" s="168">
        <f t="shared" si="33"/>
        <v>0</v>
      </c>
      <c r="Q43" s="168">
        <f t="shared" si="33"/>
        <v>0</v>
      </c>
      <c r="R43" s="168">
        <f t="shared" si="33"/>
        <v>0</v>
      </c>
      <c r="S43" s="168">
        <f t="shared" si="33"/>
        <v>0</v>
      </c>
      <c r="T43" s="168">
        <f t="shared" si="33"/>
        <v>13168</v>
      </c>
      <c r="U43" s="168">
        <f t="shared" si="33"/>
        <v>0</v>
      </c>
      <c r="V43" s="168">
        <f t="shared" si="33"/>
        <v>0</v>
      </c>
      <c r="W43" s="168">
        <f t="shared" ref="W43:AF52" si="34">ROUND($H43*IF(AND(W$1&gt;=($I43+$J43),MOD(W$1-($I43+$J43),$K43)=0),(1+InflationRate)^(W$1-AnalysisYear),0),0)*IF(AND(W$1&gt;=($AT43+$AU43),(W$1-($AT43+$AU43))&lt;&gt;0,MOD(W$1-($AT43+$AU43),$AV43)=0),0,1)</f>
        <v>0</v>
      </c>
      <c r="X43" s="168">
        <f t="shared" si="34"/>
        <v>0</v>
      </c>
      <c r="Y43" s="168">
        <f t="shared" si="34"/>
        <v>0</v>
      </c>
      <c r="Z43" s="168">
        <f t="shared" si="34"/>
        <v>0</v>
      </c>
      <c r="AA43" s="168">
        <f t="shared" si="34"/>
        <v>0</v>
      </c>
      <c r="AB43" s="168">
        <f t="shared" si="34"/>
        <v>0</v>
      </c>
      <c r="AC43" s="168">
        <f t="shared" si="34"/>
        <v>0</v>
      </c>
      <c r="AD43" s="168">
        <f t="shared" si="34"/>
        <v>0</v>
      </c>
      <c r="AE43" s="168">
        <f t="shared" si="34"/>
        <v>0</v>
      </c>
      <c r="AF43" s="168">
        <f t="shared" si="34"/>
        <v>0</v>
      </c>
      <c r="AG43" s="168">
        <f t="shared" ref="AG43:AP52" si="35">ROUND($H43*IF(AND(AG$1&gt;=($I43+$J43),MOD(AG$1-($I43+$J43),$K43)=0),(1+InflationRate)^(AG$1-AnalysisYear),0),0)*IF(AND(AG$1&gt;=($AT43+$AU43),(AG$1-($AT43+$AU43))&lt;&gt;0,MOD(AG$1-($AT43+$AU43),$AV43)=0),0,1)</f>
        <v>0</v>
      </c>
      <c r="AH43" s="168">
        <f t="shared" si="35"/>
        <v>0</v>
      </c>
      <c r="AI43" s="168">
        <f t="shared" si="35"/>
        <v>22061</v>
      </c>
      <c r="AJ43" s="168">
        <f t="shared" si="35"/>
        <v>0</v>
      </c>
      <c r="AK43" s="168">
        <f t="shared" si="35"/>
        <v>0</v>
      </c>
      <c r="AL43" s="168">
        <f t="shared" si="35"/>
        <v>0</v>
      </c>
      <c r="AM43" s="168">
        <f t="shared" si="35"/>
        <v>0</v>
      </c>
      <c r="AN43" s="168">
        <f t="shared" si="35"/>
        <v>0</v>
      </c>
      <c r="AO43" s="168">
        <f t="shared" si="35"/>
        <v>0</v>
      </c>
      <c r="AP43" s="168">
        <f t="shared" si="35"/>
        <v>0</v>
      </c>
      <c r="AQ43" s="170"/>
      <c r="AR43" s="171">
        <f t="shared" si="26"/>
        <v>35229.000099999997</v>
      </c>
      <c r="AT43" s="166">
        <f t="shared" si="27"/>
        <v>2012</v>
      </c>
      <c r="AU43" s="166">
        <f t="shared" si="28"/>
        <v>0</v>
      </c>
      <c r="AV43" s="166">
        <v>100</v>
      </c>
      <c r="AW43" s="241">
        <f t="shared" si="29"/>
        <v>0</v>
      </c>
      <c r="AX43" s="166">
        <f t="shared" si="30"/>
        <v>0</v>
      </c>
      <c r="AY43" s="166">
        <f t="shared" si="31"/>
        <v>1</v>
      </c>
      <c r="AZ43" s="242">
        <f t="shared" si="32"/>
        <v>0</v>
      </c>
      <c r="BA43" s="234">
        <f t="shared" si="12"/>
        <v>1</v>
      </c>
      <c r="BB43" s="235">
        <f t="shared" si="13"/>
        <v>0</v>
      </c>
      <c r="BC43" s="235">
        <f t="shared" si="14"/>
        <v>0</v>
      </c>
      <c r="BD43" s="236">
        <f t="shared" si="15"/>
        <v>0</v>
      </c>
    </row>
    <row r="44" spans="1:56" s="163" customFormat="1" ht="16.25" customHeight="1">
      <c r="A44" s="163" t="s">
        <v>234</v>
      </c>
      <c r="B44" s="163" t="s">
        <v>244</v>
      </c>
      <c r="C44" s="164" t="s">
        <v>340</v>
      </c>
      <c r="D44" s="166">
        <v>1</v>
      </c>
      <c r="E44" s="177">
        <f>SoundSystemcostyear</f>
        <v>2018</v>
      </c>
      <c r="F44" s="203">
        <f>D44*Soundsystemunitcost</f>
        <v>6000</v>
      </c>
      <c r="G44" s="167">
        <v>0</v>
      </c>
      <c r="H44" s="206">
        <f t="shared" si="25"/>
        <v>6427.3499999999995</v>
      </c>
      <c r="I44" s="166">
        <v>2012</v>
      </c>
      <c r="J44" s="166"/>
      <c r="K44" s="177">
        <f>Soundsystemlife</f>
        <v>12</v>
      </c>
      <c r="L44" s="169"/>
      <c r="M44" s="168">
        <f t="shared" si="33"/>
        <v>0</v>
      </c>
      <c r="N44" s="168">
        <f t="shared" si="33"/>
        <v>0</v>
      </c>
      <c r="O44" s="168">
        <f t="shared" si="33"/>
        <v>0</v>
      </c>
      <c r="P44" s="168">
        <f t="shared" si="33"/>
        <v>0</v>
      </c>
      <c r="Q44" s="168">
        <f t="shared" si="33"/>
        <v>7376</v>
      </c>
      <c r="R44" s="168">
        <f t="shared" si="33"/>
        <v>0</v>
      </c>
      <c r="S44" s="168">
        <f t="shared" si="33"/>
        <v>0</v>
      </c>
      <c r="T44" s="168">
        <f t="shared" si="33"/>
        <v>0</v>
      </c>
      <c r="U44" s="168">
        <f t="shared" si="33"/>
        <v>0</v>
      </c>
      <c r="V44" s="168">
        <f t="shared" si="33"/>
        <v>0</v>
      </c>
      <c r="W44" s="168">
        <f t="shared" si="34"/>
        <v>0</v>
      </c>
      <c r="X44" s="168">
        <f t="shared" si="34"/>
        <v>0</v>
      </c>
      <c r="Y44" s="168">
        <f t="shared" si="34"/>
        <v>0</v>
      </c>
      <c r="Z44" s="168">
        <f t="shared" si="34"/>
        <v>0</v>
      </c>
      <c r="AA44" s="168">
        <f t="shared" si="34"/>
        <v>0</v>
      </c>
      <c r="AB44" s="168">
        <f t="shared" si="34"/>
        <v>0</v>
      </c>
      <c r="AC44" s="168">
        <f t="shared" si="34"/>
        <v>11145</v>
      </c>
      <c r="AD44" s="168">
        <f t="shared" si="34"/>
        <v>0</v>
      </c>
      <c r="AE44" s="168">
        <f t="shared" si="34"/>
        <v>0</v>
      </c>
      <c r="AF44" s="168">
        <f t="shared" si="34"/>
        <v>0</v>
      </c>
      <c r="AG44" s="168">
        <f t="shared" si="35"/>
        <v>0</v>
      </c>
      <c r="AH44" s="168">
        <f t="shared" si="35"/>
        <v>0</v>
      </c>
      <c r="AI44" s="168">
        <f t="shared" si="35"/>
        <v>0</v>
      </c>
      <c r="AJ44" s="168">
        <f t="shared" si="35"/>
        <v>0</v>
      </c>
      <c r="AK44" s="168">
        <f t="shared" si="35"/>
        <v>0</v>
      </c>
      <c r="AL44" s="168">
        <f t="shared" si="35"/>
        <v>0</v>
      </c>
      <c r="AM44" s="168">
        <f t="shared" si="35"/>
        <v>0</v>
      </c>
      <c r="AN44" s="168">
        <f t="shared" si="35"/>
        <v>0</v>
      </c>
      <c r="AO44" s="168">
        <f t="shared" si="35"/>
        <v>16841</v>
      </c>
      <c r="AP44" s="168">
        <f t="shared" si="35"/>
        <v>0</v>
      </c>
      <c r="AQ44" s="170"/>
      <c r="AR44" s="171">
        <f t="shared" si="26"/>
        <v>35362.000099999997</v>
      </c>
      <c r="AT44" s="166">
        <f t="shared" si="27"/>
        <v>2012</v>
      </c>
      <c r="AU44" s="166">
        <f t="shared" si="28"/>
        <v>0</v>
      </c>
      <c r="AV44" s="166">
        <v>100</v>
      </c>
      <c r="AW44" s="241">
        <f t="shared" si="29"/>
        <v>0</v>
      </c>
      <c r="AX44" s="166">
        <f t="shared" si="30"/>
        <v>0</v>
      </c>
      <c r="AY44" s="166">
        <f t="shared" si="31"/>
        <v>0</v>
      </c>
      <c r="AZ44" s="242">
        <f t="shared" si="32"/>
        <v>0</v>
      </c>
      <c r="BA44" s="234">
        <f t="shared" si="12"/>
        <v>1</v>
      </c>
      <c r="BB44" s="235">
        <f t="shared" si="13"/>
        <v>0</v>
      </c>
      <c r="BC44" s="235">
        <f t="shared" si="14"/>
        <v>0</v>
      </c>
      <c r="BD44" s="236">
        <f t="shared" si="15"/>
        <v>0</v>
      </c>
    </row>
    <row r="45" spans="1:56" s="163" customFormat="1" ht="16.25" customHeight="1">
      <c r="A45" s="163" t="s">
        <v>234</v>
      </c>
      <c r="B45" s="163" t="s">
        <v>244</v>
      </c>
      <c r="C45" s="164" t="s">
        <v>44</v>
      </c>
      <c r="D45" s="166">
        <v>6</v>
      </c>
      <c r="E45" s="177">
        <f>billiardtablescostyear</f>
        <v>2014</v>
      </c>
      <c r="F45" s="203">
        <f>D45*billiardtablesunitcost</f>
        <v>28014</v>
      </c>
      <c r="G45" s="167">
        <v>0</v>
      </c>
      <c r="H45" s="206">
        <f t="shared" si="25"/>
        <v>34436.358712215246</v>
      </c>
      <c r="I45" s="166">
        <v>1994</v>
      </c>
      <c r="J45" s="166">
        <v>3</v>
      </c>
      <c r="K45" s="177">
        <f>billiardtableslife</f>
        <v>25</v>
      </c>
      <c r="L45" s="169"/>
      <c r="M45" s="168">
        <f t="shared" si="33"/>
        <v>0</v>
      </c>
      <c r="N45" s="168">
        <f t="shared" si="33"/>
        <v>0</v>
      </c>
      <c r="O45" s="168">
        <f t="shared" si="33"/>
        <v>36889</v>
      </c>
      <c r="P45" s="168">
        <f t="shared" si="33"/>
        <v>0</v>
      </c>
      <c r="Q45" s="168">
        <f t="shared" si="33"/>
        <v>0</v>
      </c>
      <c r="R45" s="168">
        <f t="shared" si="33"/>
        <v>0</v>
      </c>
      <c r="S45" s="168">
        <f t="shared" si="33"/>
        <v>0</v>
      </c>
      <c r="T45" s="168">
        <f t="shared" si="33"/>
        <v>0</v>
      </c>
      <c r="U45" s="168">
        <f t="shared" si="33"/>
        <v>0</v>
      </c>
      <c r="V45" s="168">
        <f t="shared" si="33"/>
        <v>0</v>
      </c>
      <c r="W45" s="168">
        <f t="shared" si="34"/>
        <v>0</v>
      </c>
      <c r="X45" s="168">
        <f t="shared" si="34"/>
        <v>0</v>
      </c>
      <c r="Y45" s="168">
        <f t="shared" si="34"/>
        <v>0</v>
      </c>
      <c r="Z45" s="168">
        <f t="shared" si="34"/>
        <v>0</v>
      </c>
      <c r="AA45" s="168">
        <f t="shared" si="34"/>
        <v>0</v>
      </c>
      <c r="AB45" s="168">
        <f t="shared" si="34"/>
        <v>0</v>
      </c>
      <c r="AC45" s="168">
        <f t="shared" si="34"/>
        <v>0</v>
      </c>
      <c r="AD45" s="168">
        <f t="shared" si="34"/>
        <v>0</v>
      </c>
      <c r="AE45" s="168">
        <f t="shared" si="34"/>
        <v>0</v>
      </c>
      <c r="AF45" s="168">
        <f t="shared" si="34"/>
        <v>0</v>
      </c>
      <c r="AG45" s="168">
        <f t="shared" si="35"/>
        <v>0</v>
      </c>
      <c r="AH45" s="168">
        <f t="shared" si="35"/>
        <v>0</v>
      </c>
      <c r="AI45" s="168">
        <f t="shared" si="35"/>
        <v>0</v>
      </c>
      <c r="AJ45" s="168">
        <f t="shared" si="35"/>
        <v>0</v>
      </c>
      <c r="AK45" s="168">
        <f t="shared" si="35"/>
        <v>0</v>
      </c>
      <c r="AL45" s="168">
        <f t="shared" si="35"/>
        <v>0</v>
      </c>
      <c r="AM45" s="168">
        <f t="shared" si="35"/>
        <v>0</v>
      </c>
      <c r="AN45" s="168">
        <f t="shared" si="35"/>
        <v>87178</v>
      </c>
      <c r="AO45" s="168">
        <f t="shared" si="35"/>
        <v>0</v>
      </c>
      <c r="AP45" s="168">
        <f t="shared" si="35"/>
        <v>0</v>
      </c>
      <c r="AQ45" s="170"/>
      <c r="AR45" s="171">
        <f t="shared" si="26"/>
        <v>124067.0001</v>
      </c>
      <c r="AT45" s="166">
        <f t="shared" si="27"/>
        <v>1994</v>
      </c>
      <c r="AU45" s="166">
        <f t="shared" si="28"/>
        <v>3</v>
      </c>
      <c r="AV45" s="166">
        <v>100</v>
      </c>
      <c r="AW45" s="241">
        <f t="shared" si="29"/>
        <v>0</v>
      </c>
      <c r="AX45" s="166">
        <f t="shared" si="30"/>
        <v>0</v>
      </c>
      <c r="AY45" s="166">
        <f t="shared" si="31"/>
        <v>0</v>
      </c>
      <c r="AZ45" s="242">
        <f t="shared" si="32"/>
        <v>0</v>
      </c>
      <c r="BA45" s="234">
        <f t="shared" si="12"/>
        <v>1</v>
      </c>
      <c r="BB45" s="235">
        <f t="shared" si="13"/>
        <v>0</v>
      </c>
      <c r="BC45" s="235">
        <f t="shared" si="14"/>
        <v>0</v>
      </c>
      <c r="BD45" s="236">
        <f t="shared" si="15"/>
        <v>0</v>
      </c>
    </row>
    <row r="46" spans="1:56" s="163" customFormat="1" ht="16.25" customHeight="1">
      <c r="A46" s="163" t="s">
        <v>234</v>
      </c>
      <c r="B46" s="163" t="s">
        <v>244</v>
      </c>
      <c r="C46" s="164" t="s">
        <v>339</v>
      </c>
      <c r="D46" s="166">
        <v>1</v>
      </c>
      <c r="E46" s="177">
        <f>boardroomAVcostyear</f>
        <v>2019</v>
      </c>
      <c r="F46" s="203">
        <f>D46*boardroomavunitcost</f>
        <v>20000</v>
      </c>
      <c r="G46" s="167">
        <v>0</v>
      </c>
      <c r="H46" s="206">
        <f t="shared" si="25"/>
        <v>20700</v>
      </c>
      <c r="I46" s="166">
        <v>2012</v>
      </c>
      <c r="J46" s="166">
        <v>-2</v>
      </c>
      <c r="K46" s="177">
        <f>boardroomavlife</f>
        <v>10</v>
      </c>
      <c r="L46" s="169"/>
      <c r="M46" s="168">
        <f t="shared" si="33"/>
        <v>20700</v>
      </c>
      <c r="N46" s="168">
        <f t="shared" si="33"/>
        <v>0</v>
      </c>
      <c r="O46" s="168">
        <f t="shared" si="33"/>
        <v>0</v>
      </c>
      <c r="P46" s="168">
        <f t="shared" si="33"/>
        <v>0</v>
      </c>
      <c r="Q46" s="168">
        <f t="shared" si="33"/>
        <v>0</v>
      </c>
      <c r="R46" s="168">
        <f t="shared" si="33"/>
        <v>0</v>
      </c>
      <c r="S46" s="168">
        <f t="shared" si="33"/>
        <v>0</v>
      </c>
      <c r="T46" s="168">
        <f t="shared" si="33"/>
        <v>0</v>
      </c>
      <c r="U46" s="168">
        <f t="shared" si="33"/>
        <v>0</v>
      </c>
      <c r="V46" s="168">
        <f t="shared" si="33"/>
        <v>0</v>
      </c>
      <c r="W46" s="168">
        <f t="shared" si="34"/>
        <v>29199</v>
      </c>
      <c r="X46" s="168">
        <f t="shared" si="34"/>
        <v>0</v>
      </c>
      <c r="Y46" s="168">
        <f t="shared" si="34"/>
        <v>0</v>
      </c>
      <c r="Z46" s="168">
        <f t="shared" si="34"/>
        <v>0</v>
      </c>
      <c r="AA46" s="168">
        <f t="shared" si="34"/>
        <v>0</v>
      </c>
      <c r="AB46" s="168">
        <f t="shared" si="34"/>
        <v>0</v>
      </c>
      <c r="AC46" s="168">
        <f t="shared" si="34"/>
        <v>0</v>
      </c>
      <c r="AD46" s="168">
        <f t="shared" si="34"/>
        <v>0</v>
      </c>
      <c r="AE46" s="168">
        <f t="shared" si="34"/>
        <v>0</v>
      </c>
      <c r="AF46" s="168">
        <f t="shared" si="34"/>
        <v>0</v>
      </c>
      <c r="AG46" s="168">
        <f t="shared" si="35"/>
        <v>41189</v>
      </c>
      <c r="AH46" s="168">
        <f t="shared" si="35"/>
        <v>0</v>
      </c>
      <c r="AI46" s="168">
        <f t="shared" si="35"/>
        <v>0</v>
      </c>
      <c r="AJ46" s="168">
        <f t="shared" si="35"/>
        <v>0</v>
      </c>
      <c r="AK46" s="168">
        <f t="shared" si="35"/>
        <v>0</v>
      </c>
      <c r="AL46" s="168">
        <f t="shared" si="35"/>
        <v>0</v>
      </c>
      <c r="AM46" s="168">
        <f t="shared" si="35"/>
        <v>0</v>
      </c>
      <c r="AN46" s="168">
        <f t="shared" si="35"/>
        <v>0</v>
      </c>
      <c r="AO46" s="168">
        <f t="shared" si="35"/>
        <v>0</v>
      </c>
      <c r="AP46" s="168">
        <f t="shared" si="35"/>
        <v>0</v>
      </c>
      <c r="AQ46" s="170"/>
      <c r="AR46" s="171">
        <f t="shared" si="26"/>
        <v>91088.000100000005</v>
      </c>
      <c r="AT46" s="166">
        <f t="shared" si="27"/>
        <v>2012</v>
      </c>
      <c r="AU46" s="166">
        <f t="shared" si="28"/>
        <v>-2</v>
      </c>
      <c r="AV46" s="166">
        <v>100</v>
      </c>
      <c r="AW46" s="241">
        <f t="shared" si="29"/>
        <v>0</v>
      </c>
      <c r="AX46" s="166">
        <f t="shared" si="30"/>
        <v>0</v>
      </c>
      <c r="AY46" s="166">
        <f t="shared" si="31"/>
        <v>0</v>
      </c>
      <c r="AZ46" s="242">
        <f t="shared" si="32"/>
        <v>0</v>
      </c>
      <c r="BA46" s="234">
        <f t="shared" si="12"/>
        <v>1</v>
      </c>
      <c r="BB46" s="235">
        <f t="shared" si="13"/>
        <v>0</v>
      </c>
      <c r="BC46" s="235">
        <f t="shared" si="14"/>
        <v>0</v>
      </c>
      <c r="BD46" s="236">
        <f t="shared" si="15"/>
        <v>0</v>
      </c>
    </row>
    <row r="47" spans="1:56" s="163" customFormat="1" ht="16.25" customHeight="1">
      <c r="A47" s="163" t="s">
        <v>234</v>
      </c>
      <c r="B47" s="163" t="s">
        <v>244</v>
      </c>
      <c r="C47" s="180" t="s">
        <v>311</v>
      </c>
      <c r="D47" s="165">
        <v>1</v>
      </c>
      <c r="E47" s="201">
        <f>clubposcostyear</f>
        <v>2014</v>
      </c>
      <c r="F47" s="205">
        <f>(D47*clubposunitcost)</f>
        <v>16765</v>
      </c>
      <c r="G47" s="183">
        <v>0</v>
      </c>
      <c r="H47" s="206">
        <f t="shared" si="25"/>
        <v>20608.465546165797</v>
      </c>
      <c r="I47" s="166">
        <v>2012</v>
      </c>
      <c r="K47" s="177">
        <f>clubPOSlife</f>
        <v>15</v>
      </c>
      <c r="L47" s="169"/>
      <c r="M47" s="168">
        <f t="shared" si="33"/>
        <v>0</v>
      </c>
      <c r="N47" s="168">
        <f t="shared" si="33"/>
        <v>0</v>
      </c>
      <c r="O47" s="168">
        <f t="shared" si="33"/>
        <v>0</v>
      </c>
      <c r="P47" s="168">
        <f t="shared" si="33"/>
        <v>0</v>
      </c>
      <c r="Q47" s="168">
        <f t="shared" si="33"/>
        <v>0</v>
      </c>
      <c r="R47" s="168">
        <f t="shared" si="33"/>
        <v>0</v>
      </c>
      <c r="S47" s="168">
        <f t="shared" si="33"/>
        <v>0</v>
      </c>
      <c r="T47" s="168">
        <f t="shared" si="33"/>
        <v>26220</v>
      </c>
      <c r="U47" s="168">
        <f t="shared" si="33"/>
        <v>0</v>
      </c>
      <c r="V47" s="168">
        <f t="shared" si="33"/>
        <v>0</v>
      </c>
      <c r="W47" s="168">
        <f t="shared" si="34"/>
        <v>0</v>
      </c>
      <c r="X47" s="168">
        <f t="shared" si="34"/>
        <v>0</v>
      </c>
      <c r="Y47" s="168">
        <f t="shared" si="34"/>
        <v>0</v>
      </c>
      <c r="Z47" s="168">
        <f t="shared" si="34"/>
        <v>0</v>
      </c>
      <c r="AA47" s="168">
        <f t="shared" si="34"/>
        <v>0</v>
      </c>
      <c r="AB47" s="168">
        <f t="shared" si="34"/>
        <v>0</v>
      </c>
      <c r="AC47" s="168">
        <f t="shared" si="34"/>
        <v>0</v>
      </c>
      <c r="AD47" s="168">
        <f t="shared" si="34"/>
        <v>0</v>
      </c>
      <c r="AE47" s="168">
        <f t="shared" si="34"/>
        <v>0</v>
      </c>
      <c r="AF47" s="168">
        <f t="shared" si="34"/>
        <v>0</v>
      </c>
      <c r="AG47" s="168">
        <f t="shared" si="35"/>
        <v>0</v>
      </c>
      <c r="AH47" s="168">
        <f t="shared" si="35"/>
        <v>0</v>
      </c>
      <c r="AI47" s="168">
        <f t="shared" si="35"/>
        <v>43927</v>
      </c>
      <c r="AJ47" s="168">
        <f t="shared" si="35"/>
        <v>0</v>
      </c>
      <c r="AK47" s="168">
        <f t="shared" si="35"/>
        <v>0</v>
      </c>
      <c r="AL47" s="168">
        <f t="shared" si="35"/>
        <v>0</v>
      </c>
      <c r="AM47" s="168">
        <f t="shared" si="35"/>
        <v>0</v>
      </c>
      <c r="AN47" s="168">
        <f t="shared" si="35"/>
        <v>0</v>
      </c>
      <c r="AO47" s="168">
        <f t="shared" si="35"/>
        <v>0</v>
      </c>
      <c r="AP47" s="168">
        <f t="shared" si="35"/>
        <v>0</v>
      </c>
      <c r="AQ47" s="170"/>
      <c r="AR47" s="171">
        <f t="shared" si="26"/>
        <v>70147.000100000005</v>
      </c>
      <c r="AT47" s="166">
        <f t="shared" si="27"/>
        <v>2012</v>
      </c>
      <c r="AU47" s="166">
        <f t="shared" si="28"/>
        <v>0</v>
      </c>
      <c r="AV47" s="166">
        <v>100</v>
      </c>
      <c r="AW47" s="241">
        <f t="shared" si="29"/>
        <v>0</v>
      </c>
      <c r="AX47" s="166">
        <f t="shared" si="30"/>
        <v>0</v>
      </c>
      <c r="AY47" s="166">
        <f t="shared" si="31"/>
        <v>0</v>
      </c>
      <c r="AZ47" s="242">
        <f t="shared" si="32"/>
        <v>0</v>
      </c>
      <c r="BA47" s="234">
        <f t="shared" si="12"/>
        <v>1</v>
      </c>
      <c r="BB47" s="235">
        <f t="shared" si="13"/>
        <v>0</v>
      </c>
      <c r="BC47" s="235">
        <f t="shared" si="14"/>
        <v>0</v>
      </c>
      <c r="BD47" s="236">
        <f t="shared" si="15"/>
        <v>0</v>
      </c>
    </row>
    <row r="48" spans="1:56" s="163" customFormat="1" ht="16.25" customHeight="1">
      <c r="A48" s="163" t="s">
        <v>234</v>
      </c>
      <c r="B48" s="163" t="s">
        <v>244</v>
      </c>
      <c r="C48" s="180" t="s">
        <v>360</v>
      </c>
      <c r="D48" s="165">
        <v>1</v>
      </c>
      <c r="E48" s="201">
        <f>(MobileLiftCostYear)</f>
        <v>2019</v>
      </c>
      <c r="F48" s="205">
        <f>D48*MobileLiftUnitCost</f>
        <v>11126</v>
      </c>
      <c r="G48" s="183">
        <v>0</v>
      </c>
      <c r="H48" s="206">
        <f t="shared" si="25"/>
        <v>11515.41</v>
      </c>
      <c r="I48" s="166">
        <v>2012</v>
      </c>
      <c r="K48" s="177">
        <f>MobileLiftLife</f>
        <v>20</v>
      </c>
      <c r="L48" s="169" t="s">
        <v>444</v>
      </c>
      <c r="M48" s="168">
        <f t="shared" si="33"/>
        <v>0</v>
      </c>
      <c r="N48" s="168">
        <f t="shared" si="33"/>
        <v>0</v>
      </c>
      <c r="O48" s="168">
        <f t="shared" si="33"/>
        <v>0</v>
      </c>
      <c r="P48" s="168">
        <f t="shared" si="33"/>
        <v>0</v>
      </c>
      <c r="Q48" s="168">
        <f t="shared" si="33"/>
        <v>0</v>
      </c>
      <c r="R48" s="168">
        <f t="shared" si="33"/>
        <v>0</v>
      </c>
      <c r="S48" s="168">
        <f t="shared" si="33"/>
        <v>0</v>
      </c>
      <c r="T48" s="168">
        <f t="shared" si="33"/>
        <v>0</v>
      </c>
      <c r="U48" s="168">
        <f t="shared" si="33"/>
        <v>0</v>
      </c>
      <c r="V48" s="168">
        <f t="shared" si="33"/>
        <v>0</v>
      </c>
      <c r="W48" s="168">
        <f t="shared" si="34"/>
        <v>0</v>
      </c>
      <c r="X48" s="168">
        <f t="shared" si="34"/>
        <v>0</v>
      </c>
      <c r="Y48" s="168">
        <f t="shared" si="34"/>
        <v>17401</v>
      </c>
      <c r="Z48" s="168">
        <f t="shared" si="34"/>
        <v>0</v>
      </c>
      <c r="AA48" s="168">
        <f t="shared" si="34"/>
        <v>0</v>
      </c>
      <c r="AB48" s="168">
        <f t="shared" si="34"/>
        <v>0</v>
      </c>
      <c r="AC48" s="168">
        <f t="shared" si="34"/>
        <v>0</v>
      </c>
      <c r="AD48" s="168">
        <f t="shared" si="34"/>
        <v>0</v>
      </c>
      <c r="AE48" s="168">
        <f t="shared" si="34"/>
        <v>0</v>
      </c>
      <c r="AF48" s="168">
        <f t="shared" si="34"/>
        <v>0</v>
      </c>
      <c r="AG48" s="168">
        <f t="shared" si="35"/>
        <v>0</v>
      </c>
      <c r="AH48" s="168">
        <f t="shared" si="35"/>
        <v>0</v>
      </c>
      <c r="AI48" s="168">
        <f t="shared" si="35"/>
        <v>0</v>
      </c>
      <c r="AJ48" s="168">
        <f t="shared" si="35"/>
        <v>0</v>
      </c>
      <c r="AK48" s="168">
        <f t="shared" si="35"/>
        <v>0</v>
      </c>
      <c r="AL48" s="168">
        <f t="shared" si="35"/>
        <v>0</v>
      </c>
      <c r="AM48" s="168">
        <f t="shared" si="35"/>
        <v>0</v>
      </c>
      <c r="AN48" s="168">
        <f t="shared" si="35"/>
        <v>0</v>
      </c>
      <c r="AO48" s="168">
        <f t="shared" si="35"/>
        <v>0</v>
      </c>
      <c r="AP48" s="168">
        <f t="shared" si="35"/>
        <v>0</v>
      </c>
      <c r="AQ48" s="170"/>
      <c r="AR48" s="171">
        <f t="shared" si="26"/>
        <v>17401.000100000001</v>
      </c>
      <c r="AT48" s="166">
        <f t="shared" si="27"/>
        <v>2012</v>
      </c>
      <c r="AU48" s="166">
        <f t="shared" si="28"/>
        <v>0</v>
      </c>
      <c r="AV48" s="166">
        <v>100</v>
      </c>
      <c r="AW48" s="241">
        <f t="shared" si="29"/>
        <v>0</v>
      </c>
      <c r="AX48" s="166">
        <f t="shared" si="30"/>
        <v>0</v>
      </c>
      <c r="AY48" s="166">
        <f t="shared" si="31"/>
        <v>1</v>
      </c>
      <c r="AZ48" s="242">
        <f t="shared" si="32"/>
        <v>0</v>
      </c>
      <c r="BA48" s="234">
        <f t="shared" si="12"/>
        <v>1</v>
      </c>
      <c r="BB48" s="235">
        <f t="shared" si="13"/>
        <v>0</v>
      </c>
      <c r="BC48" s="235">
        <f t="shared" si="14"/>
        <v>0</v>
      </c>
      <c r="BD48" s="236">
        <f t="shared" si="15"/>
        <v>0</v>
      </c>
    </row>
    <row r="49" spans="1:56" s="163" customFormat="1" ht="16.25" customHeight="1">
      <c r="A49" s="163" t="s">
        <v>234</v>
      </c>
      <c r="B49" s="163" t="s">
        <v>244</v>
      </c>
      <c r="C49" s="180" t="s">
        <v>53</v>
      </c>
      <c r="D49" s="165">
        <v>1</v>
      </c>
      <c r="E49" s="200">
        <f>elevatorcostyear</f>
        <v>2012</v>
      </c>
      <c r="F49" s="204">
        <f>D49*elevatorunitcost</f>
        <v>75000</v>
      </c>
      <c r="G49" s="181">
        <v>0</v>
      </c>
      <c r="H49" s="206">
        <f t="shared" si="25"/>
        <v>98760.677772255221</v>
      </c>
      <c r="I49" s="166">
        <v>2012</v>
      </c>
      <c r="J49" s="166">
        <v>0</v>
      </c>
      <c r="K49" s="177">
        <f>elevatorlife</f>
        <v>40</v>
      </c>
      <c r="L49" s="169" t="s">
        <v>444</v>
      </c>
      <c r="M49" s="168">
        <f t="shared" si="33"/>
        <v>0</v>
      </c>
      <c r="N49" s="168">
        <f t="shared" si="33"/>
        <v>0</v>
      </c>
      <c r="O49" s="168">
        <f t="shared" si="33"/>
        <v>0</v>
      </c>
      <c r="P49" s="168">
        <f t="shared" si="33"/>
        <v>0</v>
      </c>
      <c r="Q49" s="168">
        <f t="shared" si="33"/>
        <v>0</v>
      </c>
      <c r="R49" s="168">
        <f t="shared" si="33"/>
        <v>0</v>
      </c>
      <c r="S49" s="168">
        <f t="shared" si="33"/>
        <v>0</v>
      </c>
      <c r="T49" s="168">
        <f t="shared" si="33"/>
        <v>0</v>
      </c>
      <c r="U49" s="168">
        <f t="shared" si="33"/>
        <v>0</v>
      </c>
      <c r="V49" s="168">
        <f t="shared" si="33"/>
        <v>0</v>
      </c>
      <c r="W49" s="168">
        <f t="shared" si="34"/>
        <v>0</v>
      </c>
      <c r="X49" s="168">
        <f t="shared" si="34"/>
        <v>0</v>
      </c>
      <c r="Y49" s="168">
        <f t="shared" si="34"/>
        <v>0</v>
      </c>
      <c r="Z49" s="168">
        <f t="shared" si="34"/>
        <v>0</v>
      </c>
      <c r="AA49" s="168">
        <f t="shared" si="34"/>
        <v>0</v>
      </c>
      <c r="AB49" s="168">
        <f t="shared" si="34"/>
        <v>0</v>
      </c>
      <c r="AC49" s="168">
        <f t="shared" si="34"/>
        <v>0</v>
      </c>
      <c r="AD49" s="168">
        <f t="shared" si="34"/>
        <v>0</v>
      </c>
      <c r="AE49" s="168">
        <f t="shared" si="34"/>
        <v>0</v>
      </c>
      <c r="AF49" s="168">
        <f t="shared" si="34"/>
        <v>0</v>
      </c>
      <c r="AG49" s="168">
        <f t="shared" si="35"/>
        <v>0</v>
      </c>
      <c r="AH49" s="168">
        <f t="shared" si="35"/>
        <v>0</v>
      </c>
      <c r="AI49" s="168">
        <f t="shared" si="35"/>
        <v>0</v>
      </c>
      <c r="AJ49" s="168">
        <f t="shared" si="35"/>
        <v>0</v>
      </c>
      <c r="AK49" s="168">
        <f t="shared" si="35"/>
        <v>0</v>
      </c>
      <c r="AL49" s="168">
        <f t="shared" si="35"/>
        <v>0</v>
      </c>
      <c r="AM49" s="168">
        <f t="shared" si="35"/>
        <v>0</v>
      </c>
      <c r="AN49" s="168">
        <f t="shared" si="35"/>
        <v>0</v>
      </c>
      <c r="AO49" s="168">
        <f t="shared" si="35"/>
        <v>0</v>
      </c>
      <c r="AP49" s="168">
        <f t="shared" si="35"/>
        <v>0</v>
      </c>
      <c r="AQ49" s="170"/>
      <c r="AR49" s="171">
        <f t="shared" si="26"/>
        <v>1E-4</v>
      </c>
      <c r="AT49" s="166">
        <f t="shared" si="27"/>
        <v>2012</v>
      </c>
      <c r="AU49" s="166">
        <f t="shared" si="28"/>
        <v>0</v>
      </c>
      <c r="AV49" s="166">
        <v>100</v>
      </c>
      <c r="AW49" s="241">
        <f t="shared" si="29"/>
        <v>0</v>
      </c>
      <c r="AX49" s="166">
        <f t="shared" si="30"/>
        <v>0</v>
      </c>
      <c r="AY49" s="166">
        <f t="shared" si="31"/>
        <v>1</v>
      </c>
      <c r="AZ49" s="242">
        <f t="shared" si="32"/>
        <v>0</v>
      </c>
      <c r="BA49" s="234">
        <f t="shared" si="12"/>
        <v>1</v>
      </c>
      <c r="BB49" s="235">
        <f t="shared" si="13"/>
        <v>0</v>
      </c>
      <c r="BC49" s="235">
        <f t="shared" si="14"/>
        <v>0</v>
      </c>
      <c r="BD49" s="236">
        <f t="shared" si="15"/>
        <v>0</v>
      </c>
    </row>
    <row r="50" spans="1:56" s="163" customFormat="1" ht="16.25" customHeight="1">
      <c r="A50" s="163" t="s">
        <v>234</v>
      </c>
      <c r="B50" s="163" t="s">
        <v>244</v>
      </c>
      <c r="C50" s="180" t="s">
        <v>187</v>
      </c>
      <c r="D50" s="165">
        <v>1</v>
      </c>
      <c r="E50" s="200">
        <f>(elevatormotorcostyear)</f>
        <v>2018</v>
      </c>
      <c r="F50" s="204">
        <f>D50*elevatormotorunitcost</f>
        <v>15984</v>
      </c>
      <c r="G50" s="181">
        <v>0</v>
      </c>
      <c r="H50" s="206">
        <f t="shared" si="25"/>
        <v>17122.460399999996</v>
      </c>
      <c r="I50" s="166">
        <v>2012</v>
      </c>
      <c r="J50" s="166"/>
      <c r="K50" s="177">
        <f>elevatormotorlife</f>
        <v>15</v>
      </c>
      <c r="L50" s="169" t="s">
        <v>444</v>
      </c>
      <c r="M50" s="168">
        <f t="shared" si="33"/>
        <v>0</v>
      </c>
      <c r="N50" s="168">
        <f t="shared" si="33"/>
        <v>0</v>
      </c>
      <c r="O50" s="168">
        <f t="shared" si="33"/>
        <v>0</v>
      </c>
      <c r="P50" s="168">
        <f t="shared" si="33"/>
        <v>0</v>
      </c>
      <c r="Q50" s="168">
        <f t="shared" si="33"/>
        <v>0</v>
      </c>
      <c r="R50" s="168">
        <f t="shared" si="33"/>
        <v>0</v>
      </c>
      <c r="S50" s="168">
        <f t="shared" si="33"/>
        <v>0</v>
      </c>
      <c r="T50" s="168">
        <f t="shared" si="33"/>
        <v>21785</v>
      </c>
      <c r="U50" s="168">
        <f t="shared" si="33"/>
        <v>0</v>
      </c>
      <c r="V50" s="168">
        <f t="shared" si="33"/>
        <v>0</v>
      </c>
      <c r="W50" s="168">
        <f t="shared" si="34"/>
        <v>0</v>
      </c>
      <c r="X50" s="168">
        <f t="shared" si="34"/>
        <v>0</v>
      </c>
      <c r="Y50" s="168">
        <f t="shared" si="34"/>
        <v>0</v>
      </c>
      <c r="Z50" s="168">
        <f t="shared" si="34"/>
        <v>0</v>
      </c>
      <c r="AA50" s="168">
        <f t="shared" si="34"/>
        <v>0</v>
      </c>
      <c r="AB50" s="168">
        <f t="shared" si="34"/>
        <v>0</v>
      </c>
      <c r="AC50" s="168">
        <f t="shared" si="34"/>
        <v>0</v>
      </c>
      <c r="AD50" s="168">
        <f t="shared" si="34"/>
        <v>0</v>
      </c>
      <c r="AE50" s="168">
        <f t="shared" si="34"/>
        <v>0</v>
      </c>
      <c r="AF50" s="168">
        <f t="shared" si="34"/>
        <v>0</v>
      </c>
      <c r="AG50" s="168">
        <f t="shared" si="35"/>
        <v>0</v>
      </c>
      <c r="AH50" s="168">
        <f t="shared" si="35"/>
        <v>0</v>
      </c>
      <c r="AI50" s="168">
        <f t="shared" si="35"/>
        <v>36497</v>
      </c>
      <c r="AJ50" s="168">
        <f t="shared" si="35"/>
        <v>0</v>
      </c>
      <c r="AK50" s="168">
        <f t="shared" si="35"/>
        <v>0</v>
      </c>
      <c r="AL50" s="168">
        <f t="shared" si="35"/>
        <v>0</v>
      </c>
      <c r="AM50" s="168">
        <f t="shared" si="35"/>
        <v>0</v>
      </c>
      <c r="AN50" s="168">
        <f t="shared" si="35"/>
        <v>0</v>
      </c>
      <c r="AO50" s="168">
        <f t="shared" si="35"/>
        <v>0</v>
      </c>
      <c r="AP50" s="168">
        <f t="shared" si="35"/>
        <v>0</v>
      </c>
      <c r="AQ50" s="170"/>
      <c r="AR50" s="171">
        <f t="shared" si="26"/>
        <v>58282.000099999997</v>
      </c>
      <c r="AT50" s="166">
        <f t="shared" si="27"/>
        <v>2012</v>
      </c>
      <c r="AU50" s="166">
        <f t="shared" si="28"/>
        <v>0</v>
      </c>
      <c r="AV50" s="166">
        <v>100</v>
      </c>
      <c r="AW50" s="241">
        <f t="shared" si="29"/>
        <v>0</v>
      </c>
      <c r="AX50" s="166">
        <f t="shared" si="30"/>
        <v>0</v>
      </c>
      <c r="AY50" s="166">
        <f t="shared" si="31"/>
        <v>1</v>
      </c>
      <c r="AZ50" s="242">
        <f t="shared" si="32"/>
        <v>0</v>
      </c>
      <c r="BA50" s="234">
        <f t="shared" si="12"/>
        <v>1</v>
      </c>
      <c r="BB50" s="235">
        <f t="shared" si="13"/>
        <v>0</v>
      </c>
      <c r="BC50" s="235">
        <f t="shared" si="14"/>
        <v>0</v>
      </c>
      <c r="BD50" s="236">
        <f t="shared" si="15"/>
        <v>0</v>
      </c>
    </row>
    <row r="51" spans="1:56" s="163" customFormat="1" ht="16.25" customHeight="1">
      <c r="A51" s="163" t="s">
        <v>234</v>
      </c>
      <c r="B51" s="163" t="s">
        <v>244</v>
      </c>
      <c r="C51" s="180" t="s">
        <v>188</v>
      </c>
      <c r="D51" s="165">
        <v>1</v>
      </c>
      <c r="E51" s="200">
        <f>elevatortankcostyear</f>
        <v>2018</v>
      </c>
      <c r="F51" s="204">
        <f>D51*elevatortankunitcost</f>
        <v>9821</v>
      </c>
      <c r="G51" s="181">
        <v>0</v>
      </c>
      <c r="H51" s="206">
        <f t="shared" si="25"/>
        <v>10520.500724999998</v>
      </c>
      <c r="I51" s="166">
        <v>2012</v>
      </c>
      <c r="J51" s="166"/>
      <c r="K51" s="177">
        <f>elevatortanklife</f>
        <v>15</v>
      </c>
      <c r="L51" s="169" t="s">
        <v>444</v>
      </c>
      <c r="M51" s="168">
        <f t="shared" si="33"/>
        <v>0</v>
      </c>
      <c r="N51" s="168">
        <f t="shared" si="33"/>
        <v>0</v>
      </c>
      <c r="O51" s="168">
        <f t="shared" si="33"/>
        <v>0</v>
      </c>
      <c r="P51" s="168">
        <f t="shared" si="33"/>
        <v>0</v>
      </c>
      <c r="Q51" s="168">
        <f t="shared" si="33"/>
        <v>0</v>
      </c>
      <c r="R51" s="168">
        <f t="shared" si="33"/>
        <v>0</v>
      </c>
      <c r="S51" s="168">
        <f t="shared" si="33"/>
        <v>0</v>
      </c>
      <c r="T51" s="168">
        <f t="shared" si="33"/>
        <v>13385</v>
      </c>
      <c r="U51" s="168">
        <f t="shared" si="33"/>
        <v>0</v>
      </c>
      <c r="V51" s="168">
        <f t="shared" si="33"/>
        <v>0</v>
      </c>
      <c r="W51" s="168">
        <f t="shared" si="34"/>
        <v>0</v>
      </c>
      <c r="X51" s="168">
        <f t="shared" si="34"/>
        <v>0</v>
      </c>
      <c r="Y51" s="168">
        <f t="shared" si="34"/>
        <v>0</v>
      </c>
      <c r="Z51" s="168">
        <f t="shared" si="34"/>
        <v>0</v>
      </c>
      <c r="AA51" s="168">
        <f t="shared" si="34"/>
        <v>0</v>
      </c>
      <c r="AB51" s="168">
        <f t="shared" si="34"/>
        <v>0</v>
      </c>
      <c r="AC51" s="168">
        <f t="shared" si="34"/>
        <v>0</v>
      </c>
      <c r="AD51" s="168">
        <f t="shared" si="34"/>
        <v>0</v>
      </c>
      <c r="AE51" s="168">
        <f t="shared" si="34"/>
        <v>0</v>
      </c>
      <c r="AF51" s="168">
        <f t="shared" si="34"/>
        <v>0</v>
      </c>
      <c r="AG51" s="168">
        <f t="shared" si="35"/>
        <v>0</v>
      </c>
      <c r="AH51" s="168">
        <f t="shared" si="35"/>
        <v>0</v>
      </c>
      <c r="AI51" s="168">
        <f t="shared" si="35"/>
        <v>22425</v>
      </c>
      <c r="AJ51" s="168">
        <f t="shared" si="35"/>
        <v>0</v>
      </c>
      <c r="AK51" s="168">
        <f t="shared" si="35"/>
        <v>0</v>
      </c>
      <c r="AL51" s="168">
        <f t="shared" si="35"/>
        <v>0</v>
      </c>
      <c r="AM51" s="168">
        <f t="shared" si="35"/>
        <v>0</v>
      </c>
      <c r="AN51" s="168">
        <f t="shared" si="35"/>
        <v>0</v>
      </c>
      <c r="AO51" s="168">
        <f t="shared" si="35"/>
        <v>0</v>
      </c>
      <c r="AP51" s="168">
        <f t="shared" si="35"/>
        <v>0</v>
      </c>
      <c r="AQ51" s="170"/>
      <c r="AR51" s="171">
        <f t="shared" si="26"/>
        <v>35810.000099999997</v>
      </c>
      <c r="AT51" s="166">
        <f t="shared" si="27"/>
        <v>2012</v>
      </c>
      <c r="AU51" s="166">
        <f t="shared" si="28"/>
        <v>0</v>
      </c>
      <c r="AV51" s="166">
        <v>100</v>
      </c>
      <c r="AW51" s="241">
        <f t="shared" si="29"/>
        <v>0</v>
      </c>
      <c r="AX51" s="166">
        <f t="shared" si="30"/>
        <v>0</v>
      </c>
      <c r="AY51" s="166">
        <f t="shared" si="31"/>
        <v>1</v>
      </c>
      <c r="AZ51" s="242">
        <f t="shared" si="32"/>
        <v>0</v>
      </c>
      <c r="BA51" s="234">
        <f t="shared" si="12"/>
        <v>1</v>
      </c>
      <c r="BB51" s="235">
        <f t="shared" si="13"/>
        <v>0</v>
      </c>
      <c r="BC51" s="235">
        <f t="shared" si="14"/>
        <v>0</v>
      </c>
      <c r="BD51" s="236">
        <f t="shared" si="15"/>
        <v>0</v>
      </c>
    </row>
    <row r="52" spans="1:56" s="163" customFormat="1" ht="16.25" customHeight="1">
      <c r="A52" s="163" t="s">
        <v>234</v>
      </c>
      <c r="B52" s="163" t="s">
        <v>244</v>
      </c>
      <c r="C52" s="164" t="s">
        <v>297</v>
      </c>
      <c r="D52" s="165">
        <v>1</v>
      </c>
      <c r="E52" s="177">
        <f>firealarmsystemclubcostyear</f>
        <v>2019</v>
      </c>
      <c r="F52" s="203">
        <f>D52*firealarmsystemclubunitcost</f>
        <v>23000</v>
      </c>
      <c r="G52" s="167">
        <v>0</v>
      </c>
      <c r="H52" s="206">
        <f t="shared" si="25"/>
        <v>23804.999999999996</v>
      </c>
      <c r="I52" s="166">
        <v>2012</v>
      </c>
      <c r="J52" s="166">
        <v>0</v>
      </c>
      <c r="K52" s="177">
        <f>firealarmsystemclublife</f>
        <v>15</v>
      </c>
      <c r="L52" s="169" t="s">
        <v>444</v>
      </c>
      <c r="M52" s="168">
        <f t="shared" si="33"/>
        <v>0</v>
      </c>
      <c r="N52" s="168">
        <f t="shared" si="33"/>
        <v>0</v>
      </c>
      <c r="O52" s="168">
        <f t="shared" si="33"/>
        <v>0</v>
      </c>
      <c r="P52" s="168">
        <f t="shared" si="33"/>
        <v>0</v>
      </c>
      <c r="Q52" s="168">
        <f t="shared" si="33"/>
        <v>0</v>
      </c>
      <c r="R52" s="168">
        <f t="shared" si="33"/>
        <v>0</v>
      </c>
      <c r="S52" s="168">
        <f t="shared" si="33"/>
        <v>0</v>
      </c>
      <c r="T52" s="168">
        <f t="shared" si="33"/>
        <v>30287</v>
      </c>
      <c r="U52" s="168">
        <f t="shared" si="33"/>
        <v>0</v>
      </c>
      <c r="V52" s="168">
        <f t="shared" si="33"/>
        <v>0</v>
      </c>
      <c r="W52" s="168">
        <f t="shared" si="34"/>
        <v>0</v>
      </c>
      <c r="X52" s="168">
        <f t="shared" si="34"/>
        <v>0</v>
      </c>
      <c r="Y52" s="168">
        <f t="shared" si="34"/>
        <v>0</v>
      </c>
      <c r="Z52" s="168">
        <f t="shared" si="34"/>
        <v>0</v>
      </c>
      <c r="AA52" s="168">
        <f t="shared" si="34"/>
        <v>0</v>
      </c>
      <c r="AB52" s="168">
        <f t="shared" si="34"/>
        <v>0</v>
      </c>
      <c r="AC52" s="168">
        <f t="shared" si="34"/>
        <v>0</v>
      </c>
      <c r="AD52" s="168">
        <f t="shared" si="34"/>
        <v>0</v>
      </c>
      <c r="AE52" s="168">
        <f t="shared" si="34"/>
        <v>0</v>
      </c>
      <c r="AF52" s="168">
        <f t="shared" si="34"/>
        <v>0</v>
      </c>
      <c r="AG52" s="168">
        <f t="shared" si="35"/>
        <v>0</v>
      </c>
      <c r="AH52" s="168">
        <f t="shared" si="35"/>
        <v>0</v>
      </c>
      <c r="AI52" s="168">
        <f t="shared" si="35"/>
        <v>50741</v>
      </c>
      <c r="AJ52" s="168">
        <f t="shared" si="35"/>
        <v>0</v>
      </c>
      <c r="AK52" s="168">
        <f t="shared" si="35"/>
        <v>0</v>
      </c>
      <c r="AL52" s="168">
        <f t="shared" si="35"/>
        <v>0</v>
      </c>
      <c r="AM52" s="168">
        <f t="shared" si="35"/>
        <v>0</v>
      </c>
      <c r="AN52" s="168">
        <f t="shared" si="35"/>
        <v>0</v>
      </c>
      <c r="AO52" s="168">
        <f t="shared" si="35"/>
        <v>0</v>
      </c>
      <c r="AP52" s="168">
        <f t="shared" si="35"/>
        <v>0</v>
      </c>
      <c r="AQ52" s="170"/>
      <c r="AR52" s="171">
        <f t="shared" si="26"/>
        <v>81028.000100000005</v>
      </c>
      <c r="AT52" s="166">
        <f t="shared" si="27"/>
        <v>2012</v>
      </c>
      <c r="AU52" s="166">
        <f t="shared" si="28"/>
        <v>0</v>
      </c>
      <c r="AV52" s="166">
        <v>100</v>
      </c>
      <c r="AW52" s="241">
        <f t="shared" si="29"/>
        <v>0</v>
      </c>
      <c r="AX52" s="166">
        <f t="shared" si="30"/>
        <v>0</v>
      </c>
      <c r="AY52" s="166">
        <f t="shared" si="31"/>
        <v>1</v>
      </c>
      <c r="AZ52" s="242">
        <f t="shared" si="32"/>
        <v>0</v>
      </c>
      <c r="BA52" s="234">
        <f t="shared" si="12"/>
        <v>1</v>
      </c>
      <c r="BB52" s="235">
        <f t="shared" si="13"/>
        <v>0</v>
      </c>
      <c r="BC52" s="235">
        <f t="shared" si="14"/>
        <v>0</v>
      </c>
      <c r="BD52" s="236">
        <f t="shared" si="15"/>
        <v>0</v>
      </c>
    </row>
    <row r="53" spans="1:56" s="163" customFormat="1" ht="16.25" customHeight="1">
      <c r="A53" s="163" t="s">
        <v>234</v>
      </c>
      <c r="B53" s="163" t="s">
        <v>244</v>
      </c>
      <c r="C53" s="164" t="s">
        <v>177</v>
      </c>
      <c r="D53" s="166">
        <v>4</v>
      </c>
      <c r="E53" s="177">
        <f>clubkilncostyear</f>
        <v>2012</v>
      </c>
      <c r="F53" s="203">
        <f>D53*clubkilnunitcost</f>
        <v>20000</v>
      </c>
      <c r="G53" s="167">
        <v>0</v>
      </c>
      <c r="H53" s="206">
        <f t="shared" si="25"/>
        <v>26336.180739268057</v>
      </c>
      <c r="I53" s="166">
        <v>2012</v>
      </c>
      <c r="J53" s="166">
        <v>0</v>
      </c>
      <c r="K53" s="177">
        <f>clubkilnslife</f>
        <v>10</v>
      </c>
      <c r="L53" s="169" t="s">
        <v>444</v>
      </c>
      <c r="M53" s="168">
        <f t="shared" ref="M53:V62" si="36">ROUND($H53*IF(AND(M$1&gt;=($I53+$J53),MOD(M$1-($I53+$J53),$K53)=0),(1+InflationRate)^(M$1-AnalysisYear),0),0)*IF(AND(M$1&gt;=($AT53+$AU53),(M$1-($AT53+$AU53))&lt;&gt;0,MOD(M$1-($AT53+$AU53),$AV53)=0),0,1)</f>
        <v>0</v>
      </c>
      <c r="N53" s="168">
        <f t="shared" si="36"/>
        <v>0</v>
      </c>
      <c r="O53" s="168">
        <f t="shared" si="36"/>
        <v>28212</v>
      </c>
      <c r="P53" s="168">
        <f t="shared" si="36"/>
        <v>0</v>
      </c>
      <c r="Q53" s="168">
        <f t="shared" si="36"/>
        <v>0</v>
      </c>
      <c r="R53" s="168">
        <f t="shared" si="36"/>
        <v>0</v>
      </c>
      <c r="S53" s="168">
        <f t="shared" si="36"/>
        <v>0</v>
      </c>
      <c r="T53" s="168">
        <f t="shared" si="36"/>
        <v>0</v>
      </c>
      <c r="U53" s="168">
        <f t="shared" si="36"/>
        <v>0</v>
      </c>
      <c r="V53" s="168">
        <f t="shared" si="36"/>
        <v>0</v>
      </c>
      <c r="W53" s="168">
        <f t="shared" ref="W53:AF62" si="37">ROUND($H53*IF(AND(W$1&gt;=($I53+$J53),MOD(W$1-($I53+$J53),$K53)=0),(1+InflationRate)^(W$1-AnalysisYear),0),0)*IF(AND(W$1&gt;=($AT53+$AU53),(W$1-($AT53+$AU53))&lt;&gt;0,MOD(W$1-($AT53+$AU53),$AV53)=0),0,1)</f>
        <v>0</v>
      </c>
      <c r="X53" s="168">
        <f t="shared" si="37"/>
        <v>0</v>
      </c>
      <c r="Y53" s="168">
        <f t="shared" si="37"/>
        <v>39796</v>
      </c>
      <c r="Z53" s="168">
        <f t="shared" si="37"/>
        <v>0</v>
      </c>
      <c r="AA53" s="168">
        <f t="shared" si="37"/>
        <v>0</v>
      </c>
      <c r="AB53" s="168">
        <f t="shared" si="37"/>
        <v>0</v>
      </c>
      <c r="AC53" s="168">
        <f t="shared" si="37"/>
        <v>0</v>
      </c>
      <c r="AD53" s="168">
        <f t="shared" si="37"/>
        <v>0</v>
      </c>
      <c r="AE53" s="168">
        <f t="shared" si="37"/>
        <v>0</v>
      </c>
      <c r="AF53" s="168">
        <f t="shared" si="37"/>
        <v>0</v>
      </c>
      <c r="AG53" s="168">
        <f t="shared" ref="AG53:AP62" si="38">ROUND($H53*IF(AND(AG$1&gt;=($I53+$J53),MOD(AG$1-($I53+$J53),$K53)=0),(1+InflationRate)^(AG$1-AnalysisYear),0),0)*IF(AND(AG$1&gt;=($AT53+$AU53),(AG$1-($AT53+$AU53))&lt;&gt;0,MOD(AG$1-($AT53+$AU53),$AV53)=0),0,1)</f>
        <v>0</v>
      </c>
      <c r="AH53" s="168">
        <f t="shared" si="38"/>
        <v>0</v>
      </c>
      <c r="AI53" s="168">
        <f t="shared" si="38"/>
        <v>56136</v>
      </c>
      <c r="AJ53" s="168">
        <f t="shared" si="38"/>
        <v>0</v>
      </c>
      <c r="AK53" s="168">
        <f t="shared" si="38"/>
        <v>0</v>
      </c>
      <c r="AL53" s="168">
        <f t="shared" si="38"/>
        <v>0</v>
      </c>
      <c r="AM53" s="168">
        <f t="shared" si="38"/>
        <v>0</v>
      </c>
      <c r="AN53" s="168">
        <f t="shared" si="38"/>
        <v>0</v>
      </c>
      <c r="AO53" s="168">
        <f t="shared" si="38"/>
        <v>0</v>
      </c>
      <c r="AP53" s="168">
        <f t="shared" si="38"/>
        <v>0</v>
      </c>
      <c r="AQ53" s="170"/>
      <c r="AR53" s="171">
        <f t="shared" si="26"/>
        <v>124144.0001</v>
      </c>
      <c r="AT53" s="166">
        <f t="shared" si="27"/>
        <v>2012</v>
      </c>
      <c r="AU53" s="166">
        <f t="shared" si="28"/>
        <v>0</v>
      </c>
      <c r="AV53" s="166">
        <v>100</v>
      </c>
      <c r="AW53" s="241">
        <f t="shared" si="29"/>
        <v>0</v>
      </c>
      <c r="AX53" s="166">
        <f t="shared" si="30"/>
        <v>0</v>
      </c>
      <c r="AY53" s="166">
        <f t="shared" si="31"/>
        <v>1</v>
      </c>
      <c r="AZ53" s="242">
        <f t="shared" si="32"/>
        <v>0</v>
      </c>
      <c r="BA53" s="234">
        <f t="shared" si="12"/>
        <v>1</v>
      </c>
      <c r="BB53" s="235">
        <f t="shared" si="13"/>
        <v>0</v>
      </c>
      <c r="BC53" s="235">
        <f t="shared" si="14"/>
        <v>0</v>
      </c>
      <c r="BD53" s="236">
        <f t="shared" si="15"/>
        <v>0</v>
      </c>
    </row>
    <row r="54" spans="1:56" s="163" customFormat="1" ht="16.25" customHeight="1">
      <c r="A54" s="163" t="s">
        <v>234</v>
      </c>
      <c r="B54" s="163" t="s">
        <v>244</v>
      </c>
      <c r="C54" s="164" t="s">
        <v>48</v>
      </c>
      <c r="D54" s="166">
        <v>4</v>
      </c>
      <c r="E54" s="177">
        <f>chairslobbycostear</f>
        <v>2014</v>
      </c>
      <c r="F54" s="203">
        <f>D54*chairslobbyunitcost</f>
        <v>6480</v>
      </c>
      <c r="G54" s="167">
        <v>0</v>
      </c>
      <c r="H54" s="206">
        <f t="shared" si="25"/>
        <v>7965.574514712458</v>
      </c>
      <c r="I54" s="166">
        <v>2012</v>
      </c>
      <c r="J54" s="166">
        <v>0</v>
      </c>
      <c r="K54" s="177">
        <f>chairslobbylife</f>
        <v>9</v>
      </c>
      <c r="L54" s="169" t="s">
        <v>444</v>
      </c>
      <c r="M54" s="168">
        <f t="shared" si="36"/>
        <v>0</v>
      </c>
      <c r="N54" s="168">
        <f t="shared" si="36"/>
        <v>8244</v>
      </c>
      <c r="O54" s="168">
        <f t="shared" si="36"/>
        <v>0</v>
      </c>
      <c r="P54" s="168">
        <f t="shared" si="36"/>
        <v>0</v>
      </c>
      <c r="Q54" s="168">
        <f t="shared" si="36"/>
        <v>0</v>
      </c>
      <c r="R54" s="168">
        <f t="shared" si="36"/>
        <v>0</v>
      </c>
      <c r="S54" s="168">
        <f t="shared" si="36"/>
        <v>0</v>
      </c>
      <c r="T54" s="168">
        <f t="shared" si="36"/>
        <v>0</v>
      </c>
      <c r="U54" s="168">
        <f t="shared" si="36"/>
        <v>0</v>
      </c>
      <c r="V54" s="168">
        <f t="shared" si="36"/>
        <v>0</v>
      </c>
      <c r="W54" s="168">
        <f t="shared" si="37"/>
        <v>11236</v>
      </c>
      <c r="X54" s="168">
        <f t="shared" si="37"/>
        <v>0</v>
      </c>
      <c r="Y54" s="168">
        <f t="shared" si="37"/>
        <v>0</v>
      </c>
      <c r="Z54" s="168">
        <f t="shared" si="37"/>
        <v>0</v>
      </c>
      <c r="AA54" s="168">
        <f t="shared" si="37"/>
        <v>0</v>
      </c>
      <c r="AB54" s="168">
        <f t="shared" si="37"/>
        <v>0</v>
      </c>
      <c r="AC54" s="168">
        <f t="shared" si="37"/>
        <v>0</v>
      </c>
      <c r="AD54" s="168">
        <f t="shared" si="37"/>
        <v>0</v>
      </c>
      <c r="AE54" s="168">
        <f t="shared" si="37"/>
        <v>0</v>
      </c>
      <c r="AF54" s="168">
        <f t="shared" si="37"/>
        <v>15314</v>
      </c>
      <c r="AG54" s="168">
        <f t="shared" si="38"/>
        <v>0</v>
      </c>
      <c r="AH54" s="168">
        <f t="shared" si="38"/>
        <v>0</v>
      </c>
      <c r="AI54" s="168">
        <f t="shared" si="38"/>
        <v>0</v>
      </c>
      <c r="AJ54" s="168">
        <f t="shared" si="38"/>
        <v>0</v>
      </c>
      <c r="AK54" s="168">
        <f t="shared" si="38"/>
        <v>0</v>
      </c>
      <c r="AL54" s="168">
        <f t="shared" si="38"/>
        <v>0</v>
      </c>
      <c r="AM54" s="168">
        <f t="shared" si="38"/>
        <v>0</v>
      </c>
      <c r="AN54" s="168">
        <f t="shared" si="38"/>
        <v>0</v>
      </c>
      <c r="AO54" s="168">
        <f t="shared" si="38"/>
        <v>20871</v>
      </c>
      <c r="AP54" s="168">
        <f t="shared" si="38"/>
        <v>0</v>
      </c>
      <c r="AQ54" s="170"/>
      <c r="AR54" s="171">
        <f t="shared" si="26"/>
        <v>55665.000099999997</v>
      </c>
      <c r="AT54" s="166">
        <f t="shared" si="27"/>
        <v>2012</v>
      </c>
      <c r="AU54" s="166">
        <f t="shared" si="28"/>
        <v>0</v>
      </c>
      <c r="AV54" s="166">
        <v>100</v>
      </c>
      <c r="AW54" s="241">
        <f t="shared" si="29"/>
        <v>0</v>
      </c>
      <c r="AX54" s="166">
        <f t="shared" si="30"/>
        <v>0</v>
      </c>
      <c r="AY54" s="166">
        <f t="shared" si="31"/>
        <v>1</v>
      </c>
      <c r="AZ54" s="242">
        <f t="shared" si="32"/>
        <v>0</v>
      </c>
      <c r="BA54" s="234">
        <f t="shared" si="12"/>
        <v>1</v>
      </c>
      <c r="BB54" s="235">
        <f t="shared" si="13"/>
        <v>0</v>
      </c>
      <c r="BC54" s="235">
        <f t="shared" si="14"/>
        <v>0</v>
      </c>
      <c r="BD54" s="236">
        <f t="shared" si="15"/>
        <v>0</v>
      </c>
    </row>
    <row r="55" spans="1:56" s="163" customFormat="1" ht="16.25" customHeight="1">
      <c r="A55" s="163" t="s">
        <v>234</v>
      </c>
      <c r="B55" s="163" t="s">
        <v>244</v>
      </c>
      <c r="C55" s="164" t="s">
        <v>47</v>
      </c>
      <c r="D55" s="166">
        <v>18</v>
      </c>
      <c r="E55" s="177">
        <f>chairscafelobbycostyear</f>
        <v>2014</v>
      </c>
      <c r="F55" s="203">
        <f>D55*Chairslobbycafeunitcost</f>
        <v>6624</v>
      </c>
      <c r="G55" s="167">
        <v>0</v>
      </c>
      <c r="H55" s="206">
        <f t="shared" si="25"/>
        <v>8142.5872817060681</v>
      </c>
      <c r="I55" s="166">
        <v>2012</v>
      </c>
      <c r="J55" s="166">
        <v>0</v>
      </c>
      <c r="K55" s="177">
        <f>chairslobbycafelife</f>
        <v>9</v>
      </c>
      <c r="L55" s="169" t="s">
        <v>444</v>
      </c>
      <c r="M55" s="168">
        <f t="shared" si="36"/>
        <v>0</v>
      </c>
      <c r="N55" s="168">
        <f t="shared" si="36"/>
        <v>8428</v>
      </c>
      <c r="O55" s="168">
        <f t="shared" si="36"/>
        <v>0</v>
      </c>
      <c r="P55" s="168">
        <f t="shared" si="36"/>
        <v>0</v>
      </c>
      <c r="Q55" s="168">
        <f t="shared" si="36"/>
        <v>0</v>
      </c>
      <c r="R55" s="168">
        <f t="shared" si="36"/>
        <v>0</v>
      </c>
      <c r="S55" s="168">
        <f t="shared" si="36"/>
        <v>0</v>
      </c>
      <c r="T55" s="168">
        <f t="shared" si="36"/>
        <v>0</v>
      </c>
      <c r="U55" s="168">
        <f t="shared" si="36"/>
        <v>0</v>
      </c>
      <c r="V55" s="168">
        <f t="shared" si="36"/>
        <v>0</v>
      </c>
      <c r="W55" s="168">
        <f t="shared" si="37"/>
        <v>11486</v>
      </c>
      <c r="X55" s="168">
        <f t="shared" si="37"/>
        <v>0</v>
      </c>
      <c r="Y55" s="168">
        <f t="shared" si="37"/>
        <v>0</v>
      </c>
      <c r="Z55" s="168">
        <f t="shared" si="37"/>
        <v>0</v>
      </c>
      <c r="AA55" s="168">
        <f t="shared" si="37"/>
        <v>0</v>
      </c>
      <c r="AB55" s="168">
        <f t="shared" si="37"/>
        <v>0</v>
      </c>
      <c r="AC55" s="168">
        <f t="shared" si="37"/>
        <v>0</v>
      </c>
      <c r="AD55" s="168">
        <f t="shared" si="37"/>
        <v>0</v>
      </c>
      <c r="AE55" s="168">
        <f t="shared" si="37"/>
        <v>0</v>
      </c>
      <c r="AF55" s="168">
        <f t="shared" si="37"/>
        <v>15654</v>
      </c>
      <c r="AG55" s="168">
        <f t="shared" si="38"/>
        <v>0</v>
      </c>
      <c r="AH55" s="168">
        <f t="shared" si="38"/>
        <v>0</v>
      </c>
      <c r="AI55" s="168">
        <f t="shared" si="38"/>
        <v>0</v>
      </c>
      <c r="AJ55" s="168">
        <f t="shared" si="38"/>
        <v>0</v>
      </c>
      <c r="AK55" s="168">
        <f t="shared" si="38"/>
        <v>0</v>
      </c>
      <c r="AL55" s="168">
        <f t="shared" si="38"/>
        <v>0</v>
      </c>
      <c r="AM55" s="168">
        <f t="shared" si="38"/>
        <v>0</v>
      </c>
      <c r="AN55" s="168">
        <f t="shared" si="38"/>
        <v>0</v>
      </c>
      <c r="AO55" s="168">
        <f t="shared" si="38"/>
        <v>21335</v>
      </c>
      <c r="AP55" s="168">
        <f t="shared" si="38"/>
        <v>0</v>
      </c>
      <c r="AQ55" s="170"/>
      <c r="AR55" s="171">
        <f t="shared" si="26"/>
        <v>56903.000099999997</v>
      </c>
      <c r="AT55" s="166">
        <f t="shared" si="27"/>
        <v>2012</v>
      </c>
      <c r="AU55" s="166">
        <f t="shared" si="28"/>
        <v>0</v>
      </c>
      <c r="AV55" s="166">
        <v>100</v>
      </c>
      <c r="AW55" s="241">
        <f t="shared" si="29"/>
        <v>0</v>
      </c>
      <c r="AX55" s="166">
        <f t="shared" si="30"/>
        <v>0</v>
      </c>
      <c r="AY55" s="166">
        <f t="shared" si="31"/>
        <v>1</v>
      </c>
      <c r="AZ55" s="242">
        <f t="shared" si="32"/>
        <v>0</v>
      </c>
      <c r="BA55" s="234">
        <f t="shared" si="12"/>
        <v>1</v>
      </c>
      <c r="BB55" s="235">
        <f t="shared" si="13"/>
        <v>0</v>
      </c>
      <c r="BC55" s="235">
        <f t="shared" si="14"/>
        <v>0</v>
      </c>
      <c r="BD55" s="236">
        <f t="shared" si="15"/>
        <v>0</v>
      </c>
    </row>
    <row r="56" spans="1:56" s="163" customFormat="1" ht="16.25" customHeight="1">
      <c r="A56" s="163" t="s">
        <v>234</v>
      </c>
      <c r="B56" s="164" t="s">
        <v>244</v>
      </c>
      <c r="C56" s="164" t="s">
        <v>305</v>
      </c>
      <c r="D56" s="179">
        <v>2200</v>
      </c>
      <c r="E56" s="177">
        <f>Lockerroomshowerstilecosyear</f>
        <v>2019</v>
      </c>
      <c r="F56" s="203">
        <f>D56*Lockerroomshowerstileunitcost</f>
        <v>33000</v>
      </c>
      <c r="G56" s="167">
        <v>0</v>
      </c>
      <c r="H56" s="206">
        <f t="shared" si="25"/>
        <v>34155</v>
      </c>
      <c r="I56" s="166">
        <v>2012</v>
      </c>
      <c r="J56" s="166"/>
      <c r="K56" s="177">
        <f>Lockerroomshowerstilelife</f>
        <v>15</v>
      </c>
      <c r="L56" s="169" t="s">
        <v>444</v>
      </c>
      <c r="M56" s="168">
        <f t="shared" si="36"/>
        <v>0</v>
      </c>
      <c r="N56" s="168">
        <f t="shared" si="36"/>
        <v>0</v>
      </c>
      <c r="O56" s="168">
        <f t="shared" si="36"/>
        <v>0</v>
      </c>
      <c r="P56" s="168">
        <f t="shared" si="36"/>
        <v>0</v>
      </c>
      <c r="Q56" s="168">
        <f t="shared" si="36"/>
        <v>0</v>
      </c>
      <c r="R56" s="168">
        <f t="shared" si="36"/>
        <v>0</v>
      </c>
      <c r="S56" s="168">
        <f t="shared" si="36"/>
        <v>0</v>
      </c>
      <c r="T56" s="168">
        <f t="shared" si="36"/>
        <v>43455</v>
      </c>
      <c r="U56" s="168">
        <f t="shared" si="36"/>
        <v>0</v>
      </c>
      <c r="V56" s="168">
        <f t="shared" si="36"/>
        <v>0</v>
      </c>
      <c r="W56" s="168">
        <f t="shared" si="37"/>
        <v>0</v>
      </c>
      <c r="X56" s="168">
        <f t="shared" si="37"/>
        <v>0</v>
      </c>
      <c r="Y56" s="168">
        <f t="shared" si="37"/>
        <v>0</v>
      </c>
      <c r="Z56" s="168">
        <f t="shared" si="37"/>
        <v>0</v>
      </c>
      <c r="AA56" s="168">
        <f t="shared" si="37"/>
        <v>0</v>
      </c>
      <c r="AB56" s="168">
        <f t="shared" si="37"/>
        <v>0</v>
      </c>
      <c r="AC56" s="168">
        <f t="shared" si="37"/>
        <v>0</v>
      </c>
      <c r="AD56" s="168">
        <f t="shared" si="37"/>
        <v>0</v>
      </c>
      <c r="AE56" s="168">
        <f t="shared" si="37"/>
        <v>0</v>
      </c>
      <c r="AF56" s="168">
        <f t="shared" si="37"/>
        <v>0</v>
      </c>
      <c r="AG56" s="168">
        <f t="shared" si="38"/>
        <v>0</v>
      </c>
      <c r="AH56" s="168">
        <f t="shared" si="38"/>
        <v>0</v>
      </c>
      <c r="AI56" s="168">
        <f t="shared" si="38"/>
        <v>72802</v>
      </c>
      <c r="AJ56" s="168">
        <f t="shared" si="38"/>
        <v>0</v>
      </c>
      <c r="AK56" s="168">
        <f t="shared" si="38"/>
        <v>0</v>
      </c>
      <c r="AL56" s="168">
        <f t="shared" si="38"/>
        <v>0</v>
      </c>
      <c r="AM56" s="168">
        <f t="shared" si="38"/>
        <v>0</v>
      </c>
      <c r="AN56" s="168">
        <f t="shared" si="38"/>
        <v>0</v>
      </c>
      <c r="AO56" s="168">
        <f t="shared" si="38"/>
        <v>0</v>
      </c>
      <c r="AP56" s="168">
        <f t="shared" si="38"/>
        <v>0</v>
      </c>
      <c r="AQ56" s="170"/>
      <c r="AR56" s="171">
        <f t="shared" si="26"/>
        <v>116257.0001</v>
      </c>
      <c r="AT56" s="166">
        <f t="shared" si="27"/>
        <v>2012</v>
      </c>
      <c r="AU56" s="166">
        <f t="shared" si="28"/>
        <v>0</v>
      </c>
      <c r="AV56" s="166">
        <v>100</v>
      </c>
      <c r="AW56" s="241">
        <f t="shared" si="29"/>
        <v>0</v>
      </c>
      <c r="AX56" s="166">
        <f t="shared" si="30"/>
        <v>0</v>
      </c>
      <c r="AY56" s="166">
        <f t="shared" si="31"/>
        <v>1</v>
      </c>
      <c r="AZ56" s="242">
        <f t="shared" si="32"/>
        <v>0</v>
      </c>
      <c r="BA56" s="234">
        <f t="shared" si="12"/>
        <v>1</v>
      </c>
      <c r="BB56" s="235">
        <f t="shared" si="13"/>
        <v>0</v>
      </c>
      <c r="BC56" s="235">
        <f t="shared" si="14"/>
        <v>0</v>
      </c>
      <c r="BD56" s="236">
        <f t="shared" si="15"/>
        <v>0</v>
      </c>
    </row>
    <row r="57" spans="1:56" s="163" customFormat="1" ht="16.25" customHeight="1">
      <c r="A57" s="163" t="s">
        <v>234</v>
      </c>
      <c r="B57" s="163" t="s">
        <v>244</v>
      </c>
      <c r="C57" s="164" t="s">
        <v>303</v>
      </c>
      <c r="D57" s="179">
        <v>100</v>
      </c>
      <c r="E57" s="177">
        <f>('HGMD Unit Costs'!C152)</f>
        <v>2015</v>
      </c>
      <c r="F57" s="203">
        <f>D57*Lockersunitcost</f>
        <v>20000</v>
      </c>
      <c r="G57" s="167">
        <v>0</v>
      </c>
      <c r="H57" s="206">
        <f t="shared" si="25"/>
        <v>23753.726112937489</v>
      </c>
      <c r="I57" s="166">
        <v>2012</v>
      </c>
      <c r="J57" s="166"/>
      <c r="K57" s="177">
        <f>Lockerslife</f>
        <v>15</v>
      </c>
      <c r="L57" s="169" t="s">
        <v>444</v>
      </c>
      <c r="M57" s="168">
        <f t="shared" si="36"/>
        <v>0</v>
      </c>
      <c r="N57" s="168">
        <f t="shared" si="36"/>
        <v>0</v>
      </c>
      <c r="O57" s="168">
        <f t="shared" si="36"/>
        <v>0</v>
      </c>
      <c r="P57" s="168">
        <f t="shared" si="36"/>
        <v>0</v>
      </c>
      <c r="Q57" s="168">
        <f t="shared" si="36"/>
        <v>0</v>
      </c>
      <c r="R57" s="168">
        <f t="shared" si="36"/>
        <v>0</v>
      </c>
      <c r="S57" s="168">
        <f t="shared" si="36"/>
        <v>0</v>
      </c>
      <c r="T57" s="168">
        <f t="shared" si="36"/>
        <v>30221</v>
      </c>
      <c r="U57" s="168">
        <f t="shared" si="36"/>
        <v>0</v>
      </c>
      <c r="V57" s="168">
        <f t="shared" si="36"/>
        <v>0</v>
      </c>
      <c r="W57" s="168">
        <f t="shared" si="37"/>
        <v>0</v>
      </c>
      <c r="X57" s="168">
        <f t="shared" si="37"/>
        <v>0</v>
      </c>
      <c r="Y57" s="168">
        <f t="shared" si="37"/>
        <v>0</v>
      </c>
      <c r="Z57" s="168">
        <f t="shared" si="37"/>
        <v>0</v>
      </c>
      <c r="AA57" s="168">
        <f t="shared" si="37"/>
        <v>0</v>
      </c>
      <c r="AB57" s="168">
        <f t="shared" si="37"/>
        <v>0</v>
      </c>
      <c r="AC57" s="168">
        <f t="shared" si="37"/>
        <v>0</v>
      </c>
      <c r="AD57" s="168">
        <f t="shared" si="37"/>
        <v>0</v>
      </c>
      <c r="AE57" s="168">
        <f t="shared" si="37"/>
        <v>0</v>
      </c>
      <c r="AF57" s="168">
        <f t="shared" si="37"/>
        <v>0</v>
      </c>
      <c r="AG57" s="168">
        <f t="shared" si="38"/>
        <v>0</v>
      </c>
      <c r="AH57" s="168">
        <f t="shared" si="38"/>
        <v>0</v>
      </c>
      <c r="AI57" s="168">
        <f t="shared" si="38"/>
        <v>50631</v>
      </c>
      <c r="AJ57" s="168">
        <f t="shared" si="38"/>
        <v>0</v>
      </c>
      <c r="AK57" s="168">
        <f t="shared" si="38"/>
        <v>0</v>
      </c>
      <c r="AL57" s="168">
        <f t="shared" si="38"/>
        <v>0</v>
      </c>
      <c r="AM57" s="168">
        <f t="shared" si="38"/>
        <v>0</v>
      </c>
      <c r="AN57" s="168">
        <f t="shared" si="38"/>
        <v>0</v>
      </c>
      <c r="AO57" s="168">
        <f t="shared" si="38"/>
        <v>0</v>
      </c>
      <c r="AP57" s="168">
        <f t="shared" si="38"/>
        <v>0</v>
      </c>
      <c r="AQ57" s="170"/>
      <c r="AR57" s="171">
        <f t="shared" si="26"/>
        <v>80852.000100000005</v>
      </c>
      <c r="AT57" s="166">
        <f t="shared" si="27"/>
        <v>2012</v>
      </c>
      <c r="AU57" s="166">
        <f t="shared" si="28"/>
        <v>0</v>
      </c>
      <c r="AV57" s="166">
        <v>100</v>
      </c>
      <c r="AW57" s="241">
        <f t="shared" si="29"/>
        <v>0</v>
      </c>
      <c r="AX57" s="166">
        <f t="shared" si="30"/>
        <v>0</v>
      </c>
      <c r="AY57" s="166">
        <f t="shared" si="31"/>
        <v>1</v>
      </c>
      <c r="AZ57" s="242">
        <f t="shared" si="32"/>
        <v>0</v>
      </c>
      <c r="BA57" s="234">
        <f t="shared" si="12"/>
        <v>1</v>
      </c>
      <c r="BB57" s="235">
        <f t="shared" si="13"/>
        <v>0</v>
      </c>
      <c r="BC57" s="235">
        <f t="shared" si="14"/>
        <v>0</v>
      </c>
      <c r="BD57" s="236">
        <f t="shared" si="15"/>
        <v>0</v>
      </c>
    </row>
    <row r="58" spans="1:56" s="163" customFormat="1" ht="16.25" customHeight="1">
      <c r="A58" s="163" t="s">
        <v>234</v>
      </c>
      <c r="B58" s="163" t="s">
        <v>244</v>
      </c>
      <c r="C58" s="164" t="s">
        <v>45</v>
      </c>
      <c r="D58" s="166">
        <v>1</v>
      </c>
      <c r="E58" s="177">
        <f>pianoauditoriumcostyear</f>
        <v>2019</v>
      </c>
      <c r="F58" s="203">
        <f>D58*pianoauditoriumunitcost</f>
        <v>15000</v>
      </c>
      <c r="G58" s="167">
        <v>0</v>
      </c>
      <c r="H58" s="206">
        <f t="shared" si="25"/>
        <v>15524.999999999998</v>
      </c>
      <c r="I58" s="166">
        <v>2012</v>
      </c>
      <c r="J58" s="166">
        <v>0</v>
      </c>
      <c r="K58" s="177">
        <f>pianoauditoriumlife</f>
        <v>10</v>
      </c>
      <c r="L58" s="169" t="s">
        <v>444</v>
      </c>
      <c r="M58" s="168">
        <f t="shared" si="36"/>
        <v>0</v>
      </c>
      <c r="N58" s="168">
        <f t="shared" si="36"/>
        <v>0</v>
      </c>
      <c r="O58" s="168">
        <f t="shared" si="36"/>
        <v>16631</v>
      </c>
      <c r="P58" s="168">
        <f t="shared" si="36"/>
        <v>0</v>
      </c>
      <c r="Q58" s="168">
        <f t="shared" si="36"/>
        <v>0</v>
      </c>
      <c r="R58" s="168">
        <f t="shared" si="36"/>
        <v>0</v>
      </c>
      <c r="S58" s="168">
        <f t="shared" si="36"/>
        <v>0</v>
      </c>
      <c r="T58" s="168">
        <f t="shared" si="36"/>
        <v>0</v>
      </c>
      <c r="U58" s="168">
        <f t="shared" si="36"/>
        <v>0</v>
      </c>
      <c r="V58" s="168">
        <f t="shared" si="36"/>
        <v>0</v>
      </c>
      <c r="W58" s="168">
        <f t="shared" si="37"/>
        <v>0</v>
      </c>
      <c r="X58" s="168">
        <f t="shared" si="37"/>
        <v>0</v>
      </c>
      <c r="Y58" s="168">
        <f t="shared" si="37"/>
        <v>23459</v>
      </c>
      <c r="Z58" s="168">
        <f t="shared" si="37"/>
        <v>0</v>
      </c>
      <c r="AA58" s="168">
        <f t="shared" si="37"/>
        <v>0</v>
      </c>
      <c r="AB58" s="168">
        <f t="shared" si="37"/>
        <v>0</v>
      </c>
      <c r="AC58" s="168">
        <f t="shared" si="37"/>
        <v>0</v>
      </c>
      <c r="AD58" s="168">
        <f t="shared" si="37"/>
        <v>0</v>
      </c>
      <c r="AE58" s="168">
        <f t="shared" si="37"/>
        <v>0</v>
      </c>
      <c r="AF58" s="168">
        <f t="shared" si="37"/>
        <v>0</v>
      </c>
      <c r="AG58" s="168">
        <f t="shared" si="38"/>
        <v>0</v>
      </c>
      <c r="AH58" s="168">
        <f t="shared" si="38"/>
        <v>0</v>
      </c>
      <c r="AI58" s="168">
        <f t="shared" si="38"/>
        <v>33092</v>
      </c>
      <c r="AJ58" s="168">
        <f t="shared" si="38"/>
        <v>0</v>
      </c>
      <c r="AK58" s="168">
        <f t="shared" si="38"/>
        <v>0</v>
      </c>
      <c r="AL58" s="168">
        <f t="shared" si="38"/>
        <v>0</v>
      </c>
      <c r="AM58" s="168">
        <f t="shared" si="38"/>
        <v>0</v>
      </c>
      <c r="AN58" s="168">
        <f t="shared" si="38"/>
        <v>0</v>
      </c>
      <c r="AO58" s="168">
        <f t="shared" si="38"/>
        <v>0</v>
      </c>
      <c r="AP58" s="168">
        <f t="shared" si="38"/>
        <v>0</v>
      </c>
      <c r="AQ58" s="170"/>
      <c r="AR58" s="171">
        <f t="shared" si="26"/>
        <v>73182.000100000005</v>
      </c>
      <c r="AT58" s="166">
        <f t="shared" si="27"/>
        <v>2012</v>
      </c>
      <c r="AU58" s="166">
        <f t="shared" si="28"/>
        <v>0</v>
      </c>
      <c r="AV58" s="166">
        <v>100</v>
      </c>
      <c r="AW58" s="241">
        <f t="shared" si="29"/>
        <v>0</v>
      </c>
      <c r="AX58" s="166">
        <f t="shared" si="30"/>
        <v>0</v>
      </c>
      <c r="AY58" s="166">
        <f t="shared" si="31"/>
        <v>1</v>
      </c>
      <c r="AZ58" s="242">
        <f t="shared" si="32"/>
        <v>0</v>
      </c>
      <c r="BA58" s="234">
        <f t="shared" si="12"/>
        <v>1</v>
      </c>
      <c r="BB58" s="235">
        <f t="shared" si="13"/>
        <v>0</v>
      </c>
      <c r="BC58" s="235">
        <f t="shared" si="14"/>
        <v>0</v>
      </c>
      <c r="BD58" s="236">
        <f t="shared" si="15"/>
        <v>0</v>
      </c>
    </row>
    <row r="59" spans="1:56" s="163" customFormat="1" ht="16.25" customHeight="1">
      <c r="A59" s="163" t="s">
        <v>234</v>
      </c>
      <c r="B59" s="163" t="s">
        <v>244</v>
      </c>
      <c r="C59" s="164" t="s">
        <v>406</v>
      </c>
      <c r="D59" s="166">
        <v>1</v>
      </c>
      <c r="E59" s="177">
        <f>WelcomeCenterCostYear</f>
        <v>2018</v>
      </c>
      <c r="F59" s="203">
        <f>D59*WelcomeCenterUnitCost</f>
        <v>20000</v>
      </c>
      <c r="G59" s="167">
        <v>0</v>
      </c>
      <c r="H59" s="206">
        <f t="shared" si="25"/>
        <v>21424.499999999996</v>
      </c>
      <c r="I59" s="166">
        <v>2012</v>
      </c>
      <c r="J59" s="166">
        <v>0</v>
      </c>
      <c r="K59" s="177">
        <f>WelcomeCenterLife</f>
        <v>30</v>
      </c>
      <c r="L59" s="169"/>
      <c r="M59" s="168">
        <f t="shared" si="36"/>
        <v>0</v>
      </c>
      <c r="N59" s="168">
        <f t="shared" si="36"/>
        <v>0</v>
      </c>
      <c r="O59" s="168">
        <f t="shared" si="36"/>
        <v>0</v>
      </c>
      <c r="P59" s="168">
        <f t="shared" si="36"/>
        <v>0</v>
      </c>
      <c r="Q59" s="168">
        <f t="shared" si="36"/>
        <v>0</v>
      </c>
      <c r="R59" s="168">
        <f t="shared" si="36"/>
        <v>0</v>
      </c>
      <c r="S59" s="168">
        <f t="shared" si="36"/>
        <v>0</v>
      </c>
      <c r="T59" s="168">
        <f t="shared" si="36"/>
        <v>0</v>
      </c>
      <c r="U59" s="168">
        <f t="shared" si="36"/>
        <v>0</v>
      </c>
      <c r="V59" s="168">
        <f t="shared" si="36"/>
        <v>0</v>
      </c>
      <c r="W59" s="168">
        <f t="shared" si="37"/>
        <v>0</v>
      </c>
      <c r="X59" s="168">
        <f t="shared" si="37"/>
        <v>0</v>
      </c>
      <c r="Y59" s="168">
        <f t="shared" si="37"/>
        <v>0</v>
      </c>
      <c r="Z59" s="168">
        <f t="shared" si="37"/>
        <v>0</v>
      </c>
      <c r="AA59" s="168">
        <f t="shared" si="37"/>
        <v>0</v>
      </c>
      <c r="AB59" s="168">
        <f t="shared" si="37"/>
        <v>0</v>
      </c>
      <c r="AC59" s="168">
        <f t="shared" si="37"/>
        <v>0</v>
      </c>
      <c r="AD59" s="168">
        <f t="shared" si="37"/>
        <v>0</v>
      </c>
      <c r="AE59" s="168">
        <f t="shared" si="37"/>
        <v>0</v>
      </c>
      <c r="AF59" s="168">
        <f t="shared" si="37"/>
        <v>0</v>
      </c>
      <c r="AG59" s="168">
        <f t="shared" si="38"/>
        <v>0</v>
      </c>
      <c r="AH59" s="168">
        <f t="shared" si="38"/>
        <v>0</v>
      </c>
      <c r="AI59" s="168">
        <f t="shared" si="38"/>
        <v>45667</v>
      </c>
      <c r="AJ59" s="168">
        <f t="shared" si="38"/>
        <v>0</v>
      </c>
      <c r="AK59" s="168">
        <f t="shared" si="38"/>
        <v>0</v>
      </c>
      <c r="AL59" s="168">
        <f t="shared" si="38"/>
        <v>0</v>
      </c>
      <c r="AM59" s="168">
        <f t="shared" si="38"/>
        <v>0</v>
      </c>
      <c r="AN59" s="168">
        <f t="shared" si="38"/>
        <v>0</v>
      </c>
      <c r="AO59" s="168">
        <f t="shared" si="38"/>
        <v>0</v>
      </c>
      <c r="AP59" s="168">
        <f t="shared" si="38"/>
        <v>0</v>
      </c>
      <c r="AQ59" s="170"/>
      <c r="AR59" s="171">
        <f t="shared" si="26"/>
        <v>45667.000099999997</v>
      </c>
      <c r="AT59" s="166">
        <f t="shared" si="27"/>
        <v>2012</v>
      </c>
      <c r="AU59" s="166">
        <f t="shared" si="28"/>
        <v>0</v>
      </c>
      <c r="AV59" s="166">
        <v>100</v>
      </c>
      <c r="AW59" s="241">
        <f t="shared" si="29"/>
        <v>0</v>
      </c>
      <c r="AX59" s="166">
        <f t="shared" si="30"/>
        <v>0</v>
      </c>
      <c r="AY59" s="166">
        <f t="shared" si="31"/>
        <v>0</v>
      </c>
      <c r="AZ59" s="242">
        <f t="shared" si="32"/>
        <v>0</v>
      </c>
      <c r="BA59" s="234">
        <f t="shared" si="12"/>
        <v>1</v>
      </c>
      <c r="BB59" s="235">
        <f t="shared" si="13"/>
        <v>0</v>
      </c>
      <c r="BC59" s="235">
        <f t="shared" si="14"/>
        <v>0</v>
      </c>
      <c r="BD59" s="236">
        <f t="shared" si="15"/>
        <v>0</v>
      </c>
    </row>
    <row r="60" spans="1:56" s="163" customFormat="1" ht="16.25" customHeight="1">
      <c r="A60" s="163" t="s">
        <v>234</v>
      </c>
      <c r="B60" s="163" t="s">
        <v>244</v>
      </c>
      <c r="C60" s="164" t="s">
        <v>13</v>
      </c>
      <c r="D60" s="165">
        <v>1</v>
      </c>
      <c r="E60" s="177">
        <f>SaunaCostYear</f>
        <v>2014</v>
      </c>
      <c r="F60" s="203">
        <f>D60*SaunaUnitCOst</f>
        <v>6550</v>
      </c>
      <c r="G60" s="167">
        <v>0</v>
      </c>
      <c r="H60" s="206">
        <f t="shared" si="25"/>
        <v>8051.6223875565747</v>
      </c>
      <c r="I60" s="166">
        <v>2012</v>
      </c>
      <c r="J60" s="166">
        <v>0</v>
      </c>
      <c r="K60" s="177">
        <f>SaunaLife</f>
        <v>20</v>
      </c>
      <c r="L60" s="169" t="s">
        <v>444</v>
      </c>
      <c r="M60" s="168">
        <f t="shared" si="36"/>
        <v>0</v>
      </c>
      <c r="N60" s="168">
        <f t="shared" si="36"/>
        <v>0</v>
      </c>
      <c r="O60" s="168">
        <f t="shared" si="36"/>
        <v>0</v>
      </c>
      <c r="P60" s="168">
        <f t="shared" si="36"/>
        <v>0</v>
      </c>
      <c r="Q60" s="168">
        <f t="shared" si="36"/>
        <v>0</v>
      </c>
      <c r="R60" s="168">
        <f t="shared" si="36"/>
        <v>0</v>
      </c>
      <c r="S60" s="168">
        <f t="shared" si="36"/>
        <v>0</v>
      </c>
      <c r="T60" s="168">
        <f t="shared" si="36"/>
        <v>0</v>
      </c>
      <c r="U60" s="168">
        <f t="shared" si="36"/>
        <v>0</v>
      </c>
      <c r="V60" s="168">
        <f t="shared" si="36"/>
        <v>0</v>
      </c>
      <c r="W60" s="168">
        <f t="shared" si="37"/>
        <v>0</v>
      </c>
      <c r="X60" s="168">
        <f t="shared" si="37"/>
        <v>0</v>
      </c>
      <c r="Y60" s="168">
        <f t="shared" si="37"/>
        <v>12167</v>
      </c>
      <c r="Z60" s="168">
        <f t="shared" si="37"/>
        <v>0</v>
      </c>
      <c r="AA60" s="168">
        <f t="shared" si="37"/>
        <v>0</v>
      </c>
      <c r="AB60" s="168">
        <f t="shared" si="37"/>
        <v>0</v>
      </c>
      <c r="AC60" s="168">
        <f t="shared" si="37"/>
        <v>0</v>
      </c>
      <c r="AD60" s="168">
        <f t="shared" si="37"/>
        <v>0</v>
      </c>
      <c r="AE60" s="168">
        <f t="shared" si="37"/>
        <v>0</v>
      </c>
      <c r="AF60" s="168">
        <f t="shared" si="37"/>
        <v>0</v>
      </c>
      <c r="AG60" s="168">
        <f t="shared" si="38"/>
        <v>0</v>
      </c>
      <c r="AH60" s="168">
        <f t="shared" si="38"/>
        <v>0</v>
      </c>
      <c r="AI60" s="168">
        <f t="shared" si="38"/>
        <v>0</v>
      </c>
      <c r="AJ60" s="168">
        <f t="shared" si="38"/>
        <v>0</v>
      </c>
      <c r="AK60" s="168">
        <f t="shared" si="38"/>
        <v>0</v>
      </c>
      <c r="AL60" s="168">
        <f t="shared" si="38"/>
        <v>0</v>
      </c>
      <c r="AM60" s="168">
        <f t="shared" si="38"/>
        <v>0</v>
      </c>
      <c r="AN60" s="168">
        <f t="shared" si="38"/>
        <v>0</v>
      </c>
      <c r="AO60" s="168">
        <f t="shared" si="38"/>
        <v>0</v>
      </c>
      <c r="AP60" s="168">
        <f t="shared" si="38"/>
        <v>0</v>
      </c>
      <c r="AQ60" s="170"/>
      <c r="AR60" s="171">
        <f t="shared" si="26"/>
        <v>12167.000099999999</v>
      </c>
      <c r="AT60" s="166">
        <f t="shared" si="27"/>
        <v>2012</v>
      </c>
      <c r="AU60" s="166">
        <f t="shared" si="28"/>
        <v>0</v>
      </c>
      <c r="AV60" s="166">
        <v>100</v>
      </c>
      <c r="AW60" s="241">
        <f t="shared" si="29"/>
        <v>0</v>
      </c>
      <c r="AX60" s="166">
        <f t="shared" si="30"/>
        <v>0</v>
      </c>
      <c r="AY60" s="166">
        <f t="shared" si="31"/>
        <v>1</v>
      </c>
      <c r="AZ60" s="242">
        <f t="shared" si="32"/>
        <v>0</v>
      </c>
      <c r="BA60" s="234">
        <f t="shared" si="12"/>
        <v>1</v>
      </c>
      <c r="BB60" s="235">
        <f t="shared" si="13"/>
        <v>0</v>
      </c>
      <c r="BC60" s="235">
        <f t="shared" si="14"/>
        <v>0</v>
      </c>
      <c r="BD60" s="236">
        <f t="shared" si="15"/>
        <v>0</v>
      </c>
    </row>
    <row r="61" spans="1:56" s="163" customFormat="1" ht="16.25" customHeight="1">
      <c r="A61" s="163" t="s">
        <v>234</v>
      </c>
      <c r="B61" s="163" t="s">
        <v>244</v>
      </c>
      <c r="C61" s="164" t="s">
        <v>12</v>
      </c>
      <c r="D61" s="165">
        <v>1</v>
      </c>
      <c r="E61" s="177">
        <f>SaunaCostYear</f>
        <v>2014</v>
      </c>
      <c r="F61" s="203">
        <f>D61*SaunaUnitCOst</f>
        <v>6550</v>
      </c>
      <c r="G61" s="167">
        <v>0</v>
      </c>
      <c r="H61" s="206">
        <f t="shared" si="25"/>
        <v>8051.6223875565747</v>
      </c>
      <c r="I61" s="166">
        <v>2012</v>
      </c>
      <c r="J61" s="166">
        <v>0</v>
      </c>
      <c r="K61" s="177">
        <f>SaunaLife</f>
        <v>20</v>
      </c>
      <c r="L61" s="169" t="s">
        <v>444</v>
      </c>
      <c r="M61" s="168">
        <f t="shared" si="36"/>
        <v>0</v>
      </c>
      <c r="N61" s="168">
        <f t="shared" si="36"/>
        <v>0</v>
      </c>
      <c r="O61" s="168">
        <f t="shared" si="36"/>
        <v>0</v>
      </c>
      <c r="P61" s="168">
        <f t="shared" si="36"/>
        <v>0</v>
      </c>
      <c r="Q61" s="168">
        <f t="shared" si="36"/>
        <v>0</v>
      </c>
      <c r="R61" s="168">
        <f t="shared" si="36"/>
        <v>0</v>
      </c>
      <c r="S61" s="168">
        <f t="shared" si="36"/>
        <v>0</v>
      </c>
      <c r="T61" s="168">
        <f t="shared" si="36"/>
        <v>0</v>
      </c>
      <c r="U61" s="168">
        <f t="shared" si="36"/>
        <v>0</v>
      </c>
      <c r="V61" s="168">
        <f t="shared" si="36"/>
        <v>0</v>
      </c>
      <c r="W61" s="168">
        <f t="shared" si="37"/>
        <v>0</v>
      </c>
      <c r="X61" s="168">
        <f t="shared" si="37"/>
        <v>0</v>
      </c>
      <c r="Y61" s="168">
        <f t="shared" si="37"/>
        <v>12167</v>
      </c>
      <c r="Z61" s="168">
        <f t="shared" si="37"/>
        <v>0</v>
      </c>
      <c r="AA61" s="168">
        <f t="shared" si="37"/>
        <v>0</v>
      </c>
      <c r="AB61" s="168">
        <f t="shared" si="37"/>
        <v>0</v>
      </c>
      <c r="AC61" s="168">
        <f t="shared" si="37"/>
        <v>0</v>
      </c>
      <c r="AD61" s="168">
        <f t="shared" si="37"/>
        <v>0</v>
      </c>
      <c r="AE61" s="168">
        <f t="shared" si="37"/>
        <v>0</v>
      </c>
      <c r="AF61" s="168">
        <f t="shared" si="37"/>
        <v>0</v>
      </c>
      <c r="AG61" s="168">
        <f t="shared" si="38"/>
        <v>0</v>
      </c>
      <c r="AH61" s="168">
        <f t="shared" si="38"/>
        <v>0</v>
      </c>
      <c r="AI61" s="168">
        <f t="shared" si="38"/>
        <v>0</v>
      </c>
      <c r="AJ61" s="168">
        <f t="shared" si="38"/>
        <v>0</v>
      </c>
      <c r="AK61" s="168">
        <f t="shared" si="38"/>
        <v>0</v>
      </c>
      <c r="AL61" s="168">
        <f t="shared" si="38"/>
        <v>0</v>
      </c>
      <c r="AM61" s="168">
        <f t="shared" si="38"/>
        <v>0</v>
      </c>
      <c r="AN61" s="168">
        <f t="shared" si="38"/>
        <v>0</v>
      </c>
      <c r="AO61" s="168">
        <f t="shared" si="38"/>
        <v>0</v>
      </c>
      <c r="AP61" s="168">
        <f t="shared" si="38"/>
        <v>0</v>
      </c>
      <c r="AQ61" s="170"/>
      <c r="AR61" s="171">
        <f t="shared" si="26"/>
        <v>12167.000099999999</v>
      </c>
      <c r="AT61" s="166">
        <f t="shared" si="27"/>
        <v>2012</v>
      </c>
      <c r="AU61" s="166">
        <f t="shared" si="28"/>
        <v>0</v>
      </c>
      <c r="AV61" s="166">
        <v>100</v>
      </c>
      <c r="AW61" s="241">
        <f t="shared" si="29"/>
        <v>0</v>
      </c>
      <c r="AX61" s="166">
        <f t="shared" si="30"/>
        <v>0</v>
      </c>
      <c r="AY61" s="166">
        <f t="shared" si="31"/>
        <v>1</v>
      </c>
      <c r="AZ61" s="242">
        <f t="shared" si="32"/>
        <v>0</v>
      </c>
      <c r="BA61" s="234">
        <f t="shared" si="12"/>
        <v>1</v>
      </c>
      <c r="BB61" s="235">
        <f t="shared" si="13"/>
        <v>0</v>
      </c>
      <c r="BC61" s="235">
        <f t="shared" si="14"/>
        <v>0</v>
      </c>
      <c r="BD61" s="236">
        <f t="shared" si="15"/>
        <v>0</v>
      </c>
    </row>
    <row r="62" spans="1:56" s="163" customFormat="1" ht="16.25" customHeight="1">
      <c r="A62" s="163" t="s">
        <v>234</v>
      </c>
      <c r="B62" s="163" t="s">
        <v>244</v>
      </c>
      <c r="C62" s="164" t="s">
        <v>51</v>
      </c>
      <c r="D62" s="165">
        <v>1</v>
      </c>
      <c r="E62" s="177">
        <f>Securitycamerascostyear</f>
        <v>2017</v>
      </c>
      <c r="F62" s="206">
        <f>D62*Securitycamerasunitcost</f>
        <v>5454</v>
      </c>
      <c r="G62" s="168">
        <v>0</v>
      </c>
      <c r="H62" s="206">
        <f t="shared" si="25"/>
        <v>6046.9472902499983</v>
      </c>
      <c r="I62" s="166">
        <v>2012</v>
      </c>
      <c r="J62" s="166">
        <v>0</v>
      </c>
      <c r="K62" s="177">
        <f>Securitycameraslife</f>
        <v>10</v>
      </c>
      <c r="L62" s="169" t="s">
        <v>444</v>
      </c>
      <c r="M62" s="168">
        <f t="shared" si="36"/>
        <v>0</v>
      </c>
      <c r="N62" s="168">
        <f t="shared" si="36"/>
        <v>0</v>
      </c>
      <c r="O62" s="168">
        <f t="shared" si="36"/>
        <v>6478</v>
      </c>
      <c r="P62" s="168">
        <f t="shared" si="36"/>
        <v>0</v>
      </c>
      <c r="Q62" s="168">
        <f t="shared" si="36"/>
        <v>0</v>
      </c>
      <c r="R62" s="168">
        <f t="shared" si="36"/>
        <v>0</v>
      </c>
      <c r="S62" s="168">
        <f t="shared" si="36"/>
        <v>0</v>
      </c>
      <c r="T62" s="168">
        <f t="shared" si="36"/>
        <v>0</v>
      </c>
      <c r="U62" s="168">
        <f t="shared" si="36"/>
        <v>0</v>
      </c>
      <c r="V62" s="168">
        <f t="shared" si="36"/>
        <v>0</v>
      </c>
      <c r="W62" s="168">
        <f t="shared" si="37"/>
        <v>0</v>
      </c>
      <c r="X62" s="168">
        <f t="shared" si="37"/>
        <v>0</v>
      </c>
      <c r="Y62" s="168">
        <f t="shared" si="37"/>
        <v>9137</v>
      </c>
      <c r="Z62" s="168">
        <f t="shared" si="37"/>
        <v>0</v>
      </c>
      <c r="AA62" s="168">
        <f t="shared" si="37"/>
        <v>0</v>
      </c>
      <c r="AB62" s="168">
        <f t="shared" si="37"/>
        <v>0</v>
      </c>
      <c r="AC62" s="168">
        <f t="shared" si="37"/>
        <v>0</v>
      </c>
      <c r="AD62" s="168">
        <f t="shared" si="37"/>
        <v>0</v>
      </c>
      <c r="AE62" s="168">
        <f t="shared" si="37"/>
        <v>0</v>
      </c>
      <c r="AF62" s="168">
        <f t="shared" si="37"/>
        <v>0</v>
      </c>
      <c r="AG62" s="168">
        <f t="shared" si="38"/>
        <v>0</v>
      </c>
      <c r="AH62" s="168">
        <f t="shared" si="38"/>
        <v>0</v>
      </c>
      <c r="AI62" s="168">
        <f t="shared" si="38"/>
        <v>12889</v>
      </c>
      <c r="AJ62" s="168">
        <f t="shared" si="38"/>
        <v>0</v>
      </c>
      <c r="AK62" s="168">
        <f t="shared" si="38"/>
        <v>0</v>
      </c>
      <c r="AL62" s="168">
        <f t="shared" si="38"/>
        <v>0</v>
      </c>
      <c r="AM62" s="168">
        <f t="shared" si="38"/>
        <v>0</v>
      </c>
      <c r="AN62" s="168">
        <f t="shared" si="38"/>
        <v>0</v>
      </c>
      <c r="AO62" s="168">
        <f t="shared" si="38"/>
        <v>0</v>
      </c>
      <c r="AP62" s="168">
        <f t="shared" si="38"/>
        <v>0</v>
      </c>
      <c r="AQ62" s="170"/>
      <c r="AR62" s="171">
        <f t="shared" si="26"/>
        <v>28504.000100000001</v>
      </c>
      <c r="AT62" s="166">
        <f t="shared" si="27"/>
        <v>2012</v>
      </c>
      <c r="AU62" s="166">
        <f t="shared" si="28"/>
        <v>0</v>
      </c>
      <c r="AV62" s="166">
        <v>100</v>
      </c>
      <c r="AW62" s="241">
        <f t="shared" si="29"/>
        <v>0</v>
      </c>
      <c r="AX62" s="166">
        <f t="shared" si="30"/>
        <v>0</v>
      </c>
      <c r="AY62" s="166">
        <f t="shared" si="31"/>
        <v>1</v>
      </c>
      <c r="AZ62" s="242">
        <f t="shared" si="32"/>
        <v>0</v>
      </c>
      <c r="BA62" s="234">
        <f t="shared" si="12"/>
        <v>1</v>
      </c>
      <c r="BB62" s="235">
        <f t="shared" si="13"/>
        <v>0</v>
      </c>
      <c r="BC62" s="235">
        <f t="shared" si="14"/>
        <v>0</v>
      </c>
      <c r="BD62" s="236">
        <f t="shared" si="15"/>
        <v>0</v>
      </c>
    </row>
    <row r="63" spans="1:56" s="163" customFormat="1" ht="16.25" customHeight="1">
      <c r="A63" s="163" t="s">
        <v>234</v>
      </c>
      <c r="B63" s="163" t="s">
        <v>244</v>
      </c>
      <c r="C63" s="180" t="s">
        <v>186</v>
      </c>
      <c r="D63" s="165">
        <v>1</v>
      </c>
      <c r="E63" s="200">
        <f>StorageTankClubCostYear</f>
        <v>2012</v>
      </c>
      <c r="F63" s="204">
        <f>D63*StorageTankClubUnitCost</f>
        <v>15000</v>
      </c>
      <c r="G63" s="181">
        <v>0</v>
      </c>
      <c r="H63" s="206">
        <f t="shared" si="25"/>
        <v>19752.135554451044</v>
      </c>
      <c r="I63" s="166">
        <v>2012</v>
      </c>
      <c r="J63" s="166">
        <v>0</v>
      </c>
      <c r="K63" s="177">
        <f>StorageTankClubLife</f>
        <v>10</v>
      </c>
      <c r="L63" s="169" t="s">
        <v>444</v>
      </c>
      <c r="M63" s="168">
        <f t="shared" ref="M63:V73" si="39">ROUND($H63*IF(AND(M$1&gt;=($I63+$J63),MOD(M$1-($I63+$J63),$K63)=0),(1+InflationRate)^(M$1-AnalysisYear),0),0)*IF(AND(M$1&gt;=($AT63+$AU63),(M$1-($AT63+$AU63))&lt;&gt;0,MOD(M$1-($AT63+$AU63),$AV63)=0),0,1)</f>
        <v>0</v>
      </c>
      <c r="N63" s="168">
        <f t="shared" si="39"/>
        <v>0</v>
      </c>
      <c r="O63" s="168">
        <f t="shared" si="39"/>
        <v>21159</v>
      </c>
      <c r="P63" s="168">
        <f t="shared" si="39"/>
        <v>0</v>
      </c>
      <c r="Q63" s="168">
        <f t="shared" si="39"/>
        <v>0</v>
      </c>
      <c r="R63" s="168">
        <f t="shared" si="39"/>
        <v>0</v>
      </c>
      <c r="S63" s="168">
        <f t="shared" si="39"/>
        <v>0</v>
      </c>
      <c r="T63" s="168">
        <f t="shared" si="39"/>
        <v>0</v>
      </c>
      <c r="U63" s="168">
        <f t="shared" si="39"/>
        <v>0</v>
      </c>
      <c r="V63" s="168">
        <f t="shared" si="39"/>
        <v>0</v>
      </c>
      <c r="W63" s="168">
        <f t="shared" ref="W63:AF73" si="40">ROUND($H63*IF(AND(W$1&gt;=($I63+$J63),MOD(W$1-($I63+$J63),$K63)=0),(1+InflationRate)^(W$1-AnalysisYear),0),0)*IF(AND(W$1&gt;=($AT63+$AU63),(W$1-($AT63+$AU63))&lt;&gt;0,MOD(W$1-($AT63+$AU63),$AV63)=0),0,1)</f>
        <v>0</v>
      </c>
      <c r="X63" s="168">
        <f t="shared" si="40"/>
        <v>0</v>
      </c>
      <c r="Y63" s="168">
        <f t="shared" si="40"/>
        <v>29847</v>
      </c>
      <c r="Z63" s="168">
        <f t="shared" si="40"/>
        <v>0</v>
      </c>
      <c r="AA63" s="168">
        <f t="shared" si="40"/>
        <v>0</v>
      </c>
      <c r="AB63" s="168">
        <f t="shared" si="40"/>
        <v>0</v>
      </c>
      <c r="AC63" s="168">
        <f t="shared" si="40"/>
        <v>0</v>
      </c>
      <c r="AD63" s="168">
        <f t="shared" si="40"/>
        <v>0</v>
      </c>
      <c r="AE63" s="168">
        <f t="shared" si="40"/>
        <v>0</v>
      </c>
      <c r="AF63" s="168">
        <f t="shared" si="40"/>
        <v>0</v>
      </c>
      <c r="AG63" s="168">
        <f t="shared" ref="AG63:AP73" si="41">ROUND($H63*IF(AND(AG$1&gt;=($I63+$J63),MOD(AG$1-($I63+$J63),$K63)=0),(1+InflationRate)^(AG$1-AnalysisYear),0),0)*IF(AND(AG$1&gt;=($AT63+$AU63),(AG$1-($AT63+$AU63))&lt;&gt;0,MOD(AG$1-($AT63+$AU63),$AV63)=0),0,1)</f>
        <v>0</v>
      </c>
      <c r="AH63" s="168">
        <f t="shared" si="41"/>
        <v>0</v>
      </c>
      <c r="AI63" s="168">
        <f t="shared" si="41"/>
        <v>42102</v>
      </c>
      <c r="AJ63" s="168">
        <f t="shared" si="41"/>
        <v>0</v>
      </c>
      <c r="AK63" s="168">
        <f t="shared" si="41"/>
        <v>0</v>
      </c>
      <c r="AL63" s="168">
        <f t="shared" si="41"/>
        <v>0</v>
      </c>
      <c r="AM63" s="168">
        <f t="shared" si="41"/>
        <v>0</v>
      </c>
      <c r="AN63" s="168">
        <f t="shared" si="41"/>
        <v>0</v>
      </c>
      <c r="AO63" s="168">
        <f t="shared" si="41"/>
        <v>0</v>
      </c>
      <c r="AP63" s="168">
        <f t="shared" si="41"/>
        <v>0</v>
      </c>
      <c r="AQ63" s="170"/>
      <c r="AR63" s="171">
        <f t="shared" si="26"/>
        <v>93108.000100000005</v>
      </c>
      <c r="AT63" s="166">
        <f t="shared" si="27"/>
        <v>2012</v>
      </c>
      <c r="AU63" s="166">
        <f t="shared" si="28"/>
        <v>0</v>
      </c>
      <c r="AV63" s="166">
        <v>100</v>
      </c>
      <c r="AW63" s="241">
        <f t="shared" si="29"/>
        <v>0</v>
      </c>
      <c r="AX63" s="166">
        <f t="shared" si="30"/>
        <v>0</v>
      </c>
      <c r="AY63" s="166">
        <f t="shared" si="31"/>
        <v>1</v>
      </c>
      <c r="AZ63" s="242">
        <f t="shared" si="32"/>
        <v>0</v>
      </c>
      <c r="BA63" s="234">
        <f t="shared" si="12"/>
        <v>1</v>
      </c>
      <c r="BB63" s="235">
        <f t="shared" si="13"/>
        <v>0</v>
      </c>
      <c r="BC63" s="235">
        <f t="shared" si="14"/>
        <v>0</v>
      </c>
      <c r="BD63" s="236">
        <f t="shared" si="15"/>
        <v>0</v>
      </c>
    </row>
    <row r="64" spans="1:56" s="163" customFormat="1" ht="16.25" customHeight="1">
      <c r="A64" s="163" t="s">
        <v>234</v>
      </c>
      <c r="B64" s="163" t="s">
        <v>244</v>
      </c>
      <c r="C64" s="164" t="s">
        <v>309</v>
      </c>
      <c r="D64" s="165">
        <v>1</v>
      </c>
      <c r="E64" s="177">
        <f>exerciseequipstrengthcostyear</f>
        <v>2019</v>
      </c>
      <c r="F64" s="203">
        <f>D64*exerciseequipstrengthunitcost</f>
        <v>40000</v>
      </c>
      <c r="G64" s="167">
        <v>0</v>
      </c>
      <c r="H64" s="206">
        <f t="shared" si="25"/>
        <v>41400</v>
      </c>
      <c r="I64" s="166">
        <v>2012</v>
      </c>
      <c r="J64" s="166"/>
      <c r="K64" s="177">
        <f>exerciseequipstrengthlife</f>
        <v>10</v>
      </c>
      <c r="L64" s="169" t="s">
        <v>444</v>
      </c>
      <c r="M64" s="168">
        <f t="shared" si="39"/>
        <v>0</v>
      </c>
      <c r="N64" s="168">
        <f t="shared" si="39"/>
        <v>0</v>
      </c>
      <c r="O64" s="168">
        <f t="shared" si="39"/>
        <v>44349</v>
      </c>
      <c r="P64" s="168">
        <f t="shared" si="39"/>
        <v>0</v>
      </c>
      <c r="Q64" s="168">
        <f t="shared" si="39"/>
        <v>0</v>
      </c>
      <c r="R64" s="168">
        <f t="shared" si="39"/>
        <v>0</v>
      </c>
      <c r="S64" s="168">
        <f t="shared" si="39"/>
        <v>0</v>
      </c>
      <c r="T64" s="168">
        <f t="shared" si="39"/>
        <v>0</v>
      </c>
      <c r="U64" s="168">
        <f t="shared" si="39"/>
        <v>0</v>
      </c>
      <c r="V64" s="168">
        <f t="shared" si="39"/>
        <v>0</v>
      </c>
      <c r="W64" s="168">
        <f t="shared" si="40"/>
        <v>0</v>
      </c>
      <c r="X64" s="168">
        <f t="shared" si="40"/>
        <v>0</v>
      </c>
      <c r="Y64" s="168">
        <f t="shared" si="40"/>
        <v>62558</v>
      </c>
      <c r="Z64" s="168">
        <f t="shared" si="40"/>
        <v>0</v>
      </c>
      <c r="AA64" s="168">
        <f t="shared" si="40"/>
        <v>0</v>
      </c>
      <c r="AB64" s="168">
        <f t="shared" si="40"/>
        <v>0</v>
      </c>
      <c r="AC64" s="168">
        <f t="shared" si="40"/>
        <v>0</v>
      </c>
      <c r="AD64" s="168">
        <f t="shared" si="40"/>
        <v>0</v>
      </c>
      <c r="AE64" s="168">
        <f t="shared" si="40"/>
        <v>0</v>
      </c>
      <c r="AF64" s="168">
        <f t="shared" si="40"/>
        <v>0</v>
      </c>
      <c r="AG64" s="168">
        <f t="shared" si="41"/>
        <v>0</v>
      </c>
      <c r="AH64" s="168">
        <f t="shared" si="41"/>
        <v>0</v>
      </c>
      <c r="AI64" s="168">
        <f t="shared" si="41"/>
        <v>88245</v>
      </c>
      <c r="AJ64" s="168">
        <f t="shared" si="41"/>
        <v>0</v>
      </c>
      <c r="AK64" s="168">
        <f t="shared" si="41"/>
        <v>0</v>
      </c>
      <c r="AL64" s="168">
        <f t="shared" si="41"/>
        <v>0</v>
      </c>
      <c r="AM64" s="168">
        <f t="shared" si="41"/>
        <v>0</v>
      </c>
      <c r="AN64" s="168">
        <f t="shared" si="41"/>
        <v>0</v>
      </c>
      <c r="AO64" s="168">
        <f t="shared" si="41"/>
        <v>0</v>
      </c>
      <c r="AP64" s="168">
        <f t="shared" si="41"/>
        <v>0</v>
      </c>
      <c r="AQ64" s="170"/>
      <c r="AR64" s="171">
        <f t="shared" si="26"/>
        <v>195152.0001</v>
      </c>
      <c r="AT64" s="166">
        <f t="shared" si="27"/>
        <v>2012</v>
      </c>
      <c r="AU64" s="166">
        <f t="shared" si="28"/>
        <v>0</v>
      </c>
      <c r="AV64" s="166">
        <v>100</v>
      </c>
      <c r="AW64" s="241">
        <f t="shared" si="29"/>
        <v>0</v>
      </c>
      <c r="AX64" s="166">
        <f t="shared" si="30"/>
        <v>0</v>
      </c>
      <c r="AY64" s="166">
        <f t="shared" si="31"/>
        <v>1</v>
      </c>
      <c r="AZ64" s="242">
        <f t="shared" si="32"/>
        <v>0</v>
      </c>
      <c r="BA64" s="234">
        <f t="shared" si="12"/>
        <v>1</v>
      </c>
      <c r="BB64" s="235">
        <f t="shared" si="13"/>
        <v>0</v>
      </c>
      <c r="BC64" s="235">
        <f t="shared" si="14"/>
        <v>0</v>
      </c>
      <c r="BD64" s="236">
        <f t="shared" si="15"/>
        <v>0</v>
      </c>
    </row>
    <row r="65" spans="1:56" s="163" customFormat="1" ht="16.25" customHeight="1">
      <c r="A65" s="163" t="s">
        <v>234</v>
      </c>
      <c r="B65" s="163" t="s">
        <v>244</v>
      </c>
      <c r="C65" s="164" t="s">
        <v>314</v>
      </c>
      <c r="D65" s="179">
        <v>7</v>
      </c>
      <c r="E65" s="177">
        <f>restroomscostyear</f>
        <v>2019</v>
      </c>
      <c r="F65" s="203">
        <f>D65*restroomsunitcost</f>
        <v>140000</v>
      </c>
      <c r="G65" s="167">
        <v>0</v>
      </c>
      <c r="H65" s="206">
        <f t="shared" si="25"/>
        <v>144900</v>
      </c>
      <c r="I65" s="166">
        <v>2012</v>
      </c>
      <c r="J65" s="166"/>
      <c r="K65" s="177">
        <f>restroomslife</f>
        <v>15</v>
      </c>
      <c r="L65" s="169" t="s">
        <v>444</v>
      </c>
      <c r="M65" s="168">
        <f t="shared" si="39"/>
        <v>0</v>
      </c>
      <c r="N65" s="168">
        <f t="shared" si="39"/>
        <v>0</v>
      </c>
      <c r="O65" s="168">
        <f t="shared" si="39"/>
        <v>0</v>
      </c>
      <c r="P65" s="168">
        <f t="shared" si="39"/>
        <v>0</v>
      </c>
      <c r="Q65" s="168">
        <f t="shared" si="39"/>
        <v>0</v>
      </c>
      <c r="R65" s="168">
        <f t="shared" si="39"/>
        <v>0</v>
      </c>
      <c r="S65" s="168">
        <f t="shared" si="39"/>
        <v>0</v>
      </c>
      <c r="T65" s="168">
        <f t="shared" si="39"/>
        <v>184353</v>
      </c>
      <c r="U65" s="168">
        <f t="shared" si="39"/>
        <v>0</v>
      </c>
      <c r="V65" s="168">
        <f t="shared" si="39"/>
        <v>0</v>
      </c>
      <c r="W65" s="168">
        <f t="shared" si="40"/>
        <v>0</v>
      </c>
      <c r="X65" s="168">
        <f t="shared" si="40"/>
        <v>0</v>
      </c>
      <c r="Y65" s="168">
        <f t="shared" si="40"/>
        <v>0</v>
      </c>
      <c r="Z65" s="168">
        <f t="shared" si="40"/>
        <v>0</v>
      </c>
      <c r="AA65" s="168">
        <f t="shared" si="40"/>
        <v>0</v>
      </c>
      <c r="AB65" s="168">
        <f t="shared" si="40"/>
        <v>0</v>
      </c>
      <c r="AC65" s="168">
        <f t="shared" si="40"/>
        <v>0</v>
      </c>
      <c r="AD65" s="168">
        <f t="shared" si="40"/>
        <v>0</v>
      </c>
      <c r="AE65" s="168">
        <f t="shared" si="40"/>
        <v>0</v>
      </c>
      <c r="AF65" s="168">
        <f t="shared" si="40"/>
        <v>0</v>
      </c>
      <c r="AG65" s="168">
        <f t="shared" si="41"/>
        <v>0</v>
      </c>
      <c r="AH65" s="168">
        <f t="shared" si="41"/>
        <v>0</v>
      </c>
      <c r="AI65" s="168">
        <f t="shared" si="41"/>
        <v>308856</v>
      </c>
      <c r="AJ65" s="168">
        <f t="shared" si="41"/>
        <v>0</v>
      </c>
      <c r="AK65" s="168">
        <f t="shared" si="41"/>
        <v>0</v>
      </c>
      <c r="AL65" s="168">
        <f t="shared" si="41"/>
        <v>0</v>
      </c>
      <c r="AM65" s="168">
        <f t="shared" si="41"/>
        <v>0</v>
      </c>
      <c r="AN65" s="168">
        <f t="shared" si="41"/>
        <v>0</v>
      </c>
      <c r="AO65" s="168">
        <f t="shared" si="41"/>
        <v>0</v>
      </c>
      <c r="AP65" s="168">
        <f t="shared" si="41"/>
        <v>0</v>
      </c>
      <c r="AQ65" s="170"/>
      <c r="AR65" s="171">
        <f t="shared" si="26"/>
        <v>493209.0001</v>
      </c>
      <c r="AT65" s="166">
        <f t="shared" si="27"/>
        <v>2012</v>
      </c>
      <c r="AU65" s="166">
        <f t="shared" si="28"/>
        <v>0</v>
      </c>
      <c r="AV65" s="166">
        <v>100</v>
      </c>
      <c r="AW65" s="241">
        <f t="shared" si="29"/>
        <v>0</v>
      </c>
      <c r="AX65" s="166">
        <f t="shared" si="30"/>
        <v>0</v>
      </c>
      <c r="AY65" s="166">
        <f t="shared" si="31"/>
        <v>1</v>
      </c>
      <c r="AZ65" s="242">
        <f t="shared" si="32"/>
        <v>0</v>
      </c>
      <c r="BA65" s="234">
        <f t="shared" si="12"/>
        <v>1</v>
      </c>
      <c r="BB65" s="235">
        <f t="shared" si="13"/>
        <v>0</v>
      </c>
      <c r="BC65" s="235">
        <f t="shared" si="14"/>
        <v>0</v>
      </c>
      <c r="BD65" s="236">
        <f t="shared" si="15"/>
        <v>0</v>
      </c>
    </row>
    <row r="66" spans="1:56" s="163" customFormat="1" ht="16.25" customHeight="1">
      <c r="A66" s="163" t="s">
        <v>234</v>
      </c>
      <c r="B66" s="163" t="s">
        <v>288</v>
      </c>
      <c r="C66" s="180" t="s">
        <v>230</v>
      </c>
      <c r="D66" s="165">
        <v>1</v>
      </c>
      <c r="E66" s="200">
        <f>Indoorpoolheatherboilercostyear</f>
        <v>2018</v>
      </c>
      <c r="F66" s="204">
        <f>D66*Indoorpoolheaterboilerunitcost</f>
        <v>19831</v>
      </c>
      <c r="G66" s="181">
        <v>0</v>
      </c>
      <c r="H66" s="206">
        <f>IF(F66*((1+InflationRate)^(AnalysisYear-E66))&lt;MinimumProjectCost,0,F66*((1+InflationRate)^(AnalysisYear-E66)))</f>
        <v>21243.462974999999</v>
      </c>
      <c r="I66" s="166">
        <v>2012</v>
      </c>
      <c r="J66" s="166"/>
      <c r="K66" s="177">
        <f>Indoorpoolheatherboilerlife</f>
        <v>15</v>
      </c>
      <c r="L66" s="169" t="s">
        <v>444</v>
      </c>
      <c r="M66" s="168">
        <f t="shared" ref="M66:AP66" si="42">ROUND($H66*IF(AND(M$1&gt;=($I66+$J66),MOD(M$1-($I66+$J66),$K66)=0),(1+InflationRate)^(M$1-AnalysisYear),0),0)*IF(AND(M$1&gt;=($AT66+$AU66),(M$1-($AT66+$AU66))&lt;&gt;0,MOD(M$1-($AT66+$AU66),$AV66)=0),0,1)</f>
        <v>0</v>
      </c>
      <c r="N66" s="168">
        <f t="shared" si="42"/>
        <v>0</v>
      </c>
      <c r="O66" s="168">
        <f t="shared" si="42"/>
        <v>0</v>
      </c>
      <c r="P66" s="168">
        <f t="shared" si="42"/>
        <v>0</v>
      </c>
      <c r="Q66" s="168">
        <f t="shared" si="42"/>
        <v>0</v>
      </c>
      <c r="R66" s="168">
        <f t="shared" si="42"/>
        <v>0</v>
      </c>
      <c r="S66" s="168">
        <f t="shared" si="42"/>
        <v>0</v>
      </c>
      <c r="T66" s="168">
        <f t="shared" si="42"/>
        <v>27028</v>
      </c>
      <c r="U66" s="168">
        <f t="shared" si="42"/>
        <v>0</v>
      </c>
      <c r="V66" s="168">
        <f t="shared" si="42"/>
        <v>0</v>
      </c>
      <c r="W66" s="168">
        <f t="shared" si="42"/>
        <v>0</v>
      </c>
      <c r="X66" s="168">
        <f t="shared" si="42"/>
        <v>0</v>
      </c>
      <c r="Y66" s="168">
        <f t="shared" si="42"/>
        <v>0</v>
      </c>
      <c r="Z66" s="168">
        <f t="shared" si="42"/>
        <v>0</v>
      </c>
      <c r="AA66" s="168">
        <f t="shared" si="42"/>
        <v>0</v>
      </c>
      <c r="AB66" s="168">
        <f t="shared" si="42"/>
        <v>0</v>
      </c>
      <c r="AC66" s="168">
        <f t="shared" si="42"/>
        <v>0</v>
      </c>
      <c r="AD66" s="168">
        <f t="shared" si="42"/>
        <v>0</v>
      </c>
      <c r="AE66" s="168">
        <f t="shared" si="42"/>
        <v>0</v>
      </c>
      <c r="AF66" s="168">
        <f t="shared" si="42"/>
        <v>0</v>
      </c>
      <c r="AG66" s="168">
        <f t="shared" si="42"/>
        <v>0</v>
      </c>
      <c r="AH66" s="168">
        <f t="shared" si="42"/>
        <v>0</v>
      </c>
      <c r="AI66" s="168">
        <f t="shared" si="42"/>
        <v>45281</v>
      </c>
      <c r="AJ66" s="168">
        <f t="shared" si="42"/>
        <v>0</v>
      </c>
      <c r="AK66" s="168">
        <f t="shared" si="42"/>
        <v>0</v>
      </c>
      <c r="AL66" s="168">
        <f t="shared" si="42"/>
        <v>0</v>
      </c>
      <c r="AM66" s="168">
        <f t="shared" si="42"/>
        <v>0</v>
      </c>
      <c r="AN66" s="168">
        <f t="shared" si="42"/>
        <v>0</v>
      </c>
      <c r="AO66" s="168">
        <f t="shared" si="42"/>
        <v>0</v>
      </c>
      <c r="AP66" s="168">
        <f t="shared" si="42"/>
        <v>0</v>
      </c>
      <c r="AQ66" s="170"/>
      <c r="AR66" s="171">
        <f>SUM(L66:AQ66)+0.0001</f>
        <v>72309.000100000005</v>
      </c>
      <c r="AT66" s="166">
        <f>I66</f>
        <v>2012</v>
      </c>
      <c r="AU66" s="166">
        <f>J66</f>
        <v>0</v>
      </c>
      <c r="AV66" s="166">
        <v>100</v>
      </c>
      <c r="AW66" s="241">
        <f>IF($L66="F",1,0)</f>
        <v>0</v>
      </c>
      <c r="AX66" s="166">
        <f>IF($L66="L",1,0)</f>
        <v>0</v>
      </c>
      <c r="AY66" s="166">
        <f>IF($L66="T",1,0)</f>
        <v>1</v>
      </c>
      <c r="AZ66" s="242">
        <f>IF($L66="I",1,0)</f>
        <v>0</v>
      </c>
      <c r="BA66" s="234">
        <f t="shared" si="12"/>
        <v>1</v>
      </c>
      <c r="BB66" s="235">
        <f t="shared" si="13"/>
        <v>0</v>
      </c>
      <c r="BC66" s="235">
        <f t="shared" si="14"/>
        <v>0</v>
      </c>
      <c r="BD66" s="236">
        <f t="shared" si="15"/>
        <v>0</v>
      </c>
    </row>
    <row r="67" spans="1:56" s="163" customFormat="1" ht="16.25" customHeight="1">
      <c r="A67" s="163" t="s">
        <v>234</v>
      </c>
      <c r="B67" s="163" t="s">
        <v>288</v>
      </c>
      <c r="C67" s="164" t="s">
        <v>3</v>
      </c>
      <c r="D67" s="165">
        <v>1</v>
      </c>
      <c r="E67" s="177">
        <f>boileroutdoorpoolcostyear</f>
        <v>2019</v>
      </c>
      <c r="F67" s="203">
        <f>D67*boileroutdoorpoolunitcost</f>
        <v>20345</v>
      </c>
      <c r="G67" s="167">
        <v>20345</v>
      </c>
      <c r="H67" s="206">
        <f t="shared" ref="H67:H97" si="43">IF(F67*((1+InflationRate)^(AnalysisYear-E67))&lt;MinimumProjectCost,0,F67*((1+InflationRate)^(AnalysisYear-E67)))</f>
        <v>21057.074999999997</v>
      </c>
      <c r="I67" s="166">
        <v>2019</v>
      </c>
      <c r="J67" s="166"/>
      <c r="K67" s="177">
        <f>boileroutdoorpoollife</f>
        <v>15</v>
      </c>
      <c r="L67" s="169" t="s">
        <v>444</v>
      </c>
      <c r="M67" s="168">
        <f t="shared" si="39"/>
        <v>0</v>
      </c>
      <c r="N67" s="168">
        <f t="shared" si="39"/>
        <v>0</v>
      </c>
      <c r="O67" s="168">
        <f t="shared" si="39"/>
        <v>0</v>
      </c>
      <c r="P67" s="168">
        <f t="shared" si="39"/>
        <v>0</v>
      </c>
      <c r="Q67" s="168">
        <f t="shared" si="39"/>
        <v>0</v>
      </c>
      <c r="R67" s="168">
        <f t="shared" si="39"/>
        <v>0</v>
      </c>
      <c r="S67" s="168">
        <f t="shared" si="39"/>
        <v>0</v>
      </c>
      <c r="T67" s="168">
        <f t="shared" si="39"/>
        <v>0</v>
      </c>
      <c r="U67" s="168">
        <f t="shared" si="39"/>
        <v>0</v>
      </c>
      <c r="V67" s="168">
        <f t="shared" si="39"/>
        <v>0</v>
      </c>
      <c r="W67" s="168">
        <f t="shared" si="40"/>
        <v>0</v>
      </c>
      <c r="X67" s="168">
        <f t="shared" si="40"/>
        <v>0</v>
      </c>
      <c r="Y67" s="168">
        <f t="shared" si="40"/>
        <v>0</v>
      </c>
      <c r="Z67" s="168">
        <f t="shared" si="40"/>
        <v>0</v>
      </c>
      <c r="AA67" s="168">
        <f t="shared" si="40"/>
        <v>34085</v>
      </c>
      <c r="AB67" s="168">
        <f t="shared" si="40"/>
        <v>0</v>
      </c>
      <c r="AC67" s="168">
        <f t="shared" si="40"/>
        <v>0</v>
      </c>
      <c r="AD67" s="168">
        <f t="shared" si="40"/>
        <v>0</v>
      </c>
      <c r="AE67" s="168">
        <f t="shared" si="40"/>
        <v>0</v>
      </c>
      <c r="AF67" s="168">
        <f t="shared" si="40"/>
        <v>0</v>
      </c>
      <c r="AG67" s="168">
        <f t="shared" si="41"/>
        <v>0</v>
      </c>
      <c r="AH67" s="168">
        <f t="shared" si="41"/>
        <v>0</v>
      </c>
      <c r="AI67" s="168">
        <f t="shared" si="41"/>
        <v>0</v>
      </c>
      <c r="AJ67" s="168">
        <f t="shared" si="41"/>
        <v>0</v>
      </c>
      <c r="AK67" s="168">
        <f t="shared" si="41"/>
        <v>0</v>
      </c>
      <c r="AL67" s="168">
        <f t="shared" si="41"/>
        <v>0</v>
      </c>
      <c r="AM67" s="168">
        <f t="shared" si="41"/>
        <v>0</v>
      </c>
      <c r="AN67" s="168">
        <f t="shared" si="41"/>
        <v>0</v>
      </c>
      <c r="AO67" s="168">
        <f t="shared" si="41"/>
        <v>0</v>
      </c>
      <c r="AP67" s="168">
        <f t="shared" si="41"/>
        <v>57104</v>
      </c>
      <c r="AQ67" s="170"/>
      <c r="AR67" s="171">
        <f t="shared" ref="AR67:AR97" si="44">SUM(L67:AQ67)+0.0001</f>
        <v>91189.000100000005</v>
      </c>
      <c r="AT67" s="166">
        <f t="shared" ref="AT67:AT97" si="45">I67</f>
        <v>2019</v>
      </c>
      <c r="AU67" s="166">
        <f t="shared" ref="AU67:AU97" si="46">J67</f>
        <v>0</v>
      </c>
      <c r="AV67" s="166">
        <v>100</v>
      </c>
      <c r="AW67" s="241">
        <f t="shared" ref="AW67:AW97" si="47">IF($L67="F",1,0)</f>
        <v>0</v>
      </c>
      <c r="AX67" s="166">
        <f t="shared" ref="AX67:AX97" si="48">IF($L67="L",1,0)</f>
        <v>0</v>
      </c>
      <c r="AY67" s="166">
        <f t="shared" ref="AY67:AY97" si="49">IF($L67="T",1,0)</f>
        <v>1</v>
      </c>
      <c r="AZ67" s="242">
        <f t="shared" ref="AZ67:AZ97" si="50">IF($L67="I",1,0)</f>
        <v>0</v>
      </c>
      <c r="BA67" s="234">
        <f t="shared" si="12"/>
        <v>1</v>
      </c>
      <c r="BB67" s="235">
        <f t="shared" si="13"/>
        <v>0</v>
      </c>
      <c r="BC67" s="235">
        <f t="shared" si="14"/>
        <v>0</v>
      </c>
      <c r="BD67" s="236">
        <f t="shared" si="15"/>
        <v>0</v>
      </c>
    </row>
    <row r="68" spans="1:56" s="163" customFormat="1" ht="16.25" customHeight="1">
      <c r="A68" s="163" t="s">
        <v>234</v>
      </c>
      <c r="B68" s="163" t="s">
        <v>288</v>
      </c>
      <c r="C68" s="164" t="s">
        <v>404</v>
      </c>
      <c r="D68" s="165">
        <v>1</v>
      </c>
      <c r="E68" s="177">
        <f>'HGMD Unit Costs'!C77</f>
        <v>2018</v>
      </c>
      <c r="F68" s="203">
        <f>'HGMD Unit Costs'!D77*D68</f>
        <v>15935</v>
      </c>
      <c r="G68" s="167">
        <v>14646</v>
      </c>
      <c r="H68" s="206">
        <f t="shared" si="43"/>
        <v>17069.970374999997</v>
      </c>
      <c r="I68" s="166">
        <v>2019</v>
      </c>
      <c r="J68" s="166"/>
      <c r="K68" s="177">
        <f>'HGMD Unit Costs'!E77</f>
        <v>15</v>
      </c>
      <c r="L68" s="169" t="s">
        <v>444</v>
      </c>
      <c r="M68" s="168">
        <f t="shared" si="39"/>
        <v>0</v>
      </c>
      <c r="N68" s="168">
        <f t="shared" si="39"/>
        <v>0</v>
      </c>
      <c r="O68" s="168">
        <f t="shared" si="39"/>
        <v>0</v>
      </c>
      <c r="P68" s="168">
        <f t="shared" si="39"/>
        <v>0</v>
      </c>
      <c r="Q68" s="168">
        <f t="shared" si="39"/>
        <v>0</v>
      </c>
      <c r="R68" s="168">
        <f t="shared" si="39"/>
        <v>0</v>
      </c>
      <c r="S68" s="168">
        <f t="shared" si="39"/>
        <v>0</v>
      </c>
      <c r="T68" s="168">
        <f t="shared" si="39"/>
        <v>0</v>
      </c>
      <c r="U68" s="168">
        <f t="shared" si="39"/>
        <v>0</v>
      </c>
      <c r="V68" s="168">
        <f t="shared" si="39"/>
        <v>0</v>
      </c>
      <c r="W68" s="168">
        <f t="shared" si="40"/>
        <v>0</v>
      </c>
      <c r="X68" s="168">
        <f t="shared" si="40"/>
        <v>0</v>
      </c>
      <c r="Y68" s="168">
        <f t="shared" si="40"/>
        <v>0</v>
      </c>
      <c r="Z68" s="168">
        <f t="shared" si="40"/>
        <v>0</v>
      </c>
      <c r="AA68" s="168">
        <f t="shared" si="40"/>
        <v>27631</v>
      </c>
      <c r="AB68" s="168">
        <f t="shared" si="40"/>
        <v>0</v>
      </c>
      <c r="AC68" s="168">
        <f t="shared" si="40"/>
        <v>0</v>
      </c>
      <c r="AD68" s="168">
        <f t="shared" si="40"/>
        <v>0</v>
      </c>
      <c r="AE68" s="168">
        <f t="shared" si="40"/>
        <v>0</v>
      </c>
      <c r="AF68" s="168">
        <f t="shared" si="40"/>
        <v>0</v>
      </c>
      <c r="AG68" s="168">
        <f t="shared" si="41"/>
        <v>0</v>
      </c>
      <c r="AH68" s="168">
        <f t="shared" si="41"/>
        <v>0</v>
      </c>
      <c r="AI68" s="168">
        <f t="shared" si="41"/>
        <v>0</v>
      </c>
      <c r="AJ68" s="168">
        <f t="shared" si="41"/>
        <v>0</v>
      </c>
      <c r="AK68" s="168">
        <f t="shared" si="41"/>
        <v>0</v>
      </c>
      <c r="AL68" s="168">
        <f t="shared" si="41"/>
        <v>0</v>
      </c>
      <c r="AM68" s="168">
        <f t="shared" si="41"/>
        <v>0</v>
      </c>
      <c r="AN68" s="168">
        <f t="shared" si="41"/>
        <v>0</v>
      </c>
      <c r="AO68" s="168">
        <f t="shared" si="41"/>
        <v>0</v>
      </c>
      <c r="AP68" s="168">
        <f t="shared" si="41"/>
        <v>46292</v>
      </c>
      <c r="AQ68" s="170"/>
      <c r="AR68" s="171">
        <f t="shared" ref="AR68" si="51">SUM(L68:AQ68)+0.0001</f>
        <v>73923.000100000005</v>
      </c>
      <c r="AT68" s="166">
        <f t="shared" ref="AT68" si="52">I68</f>
        <v>2019</v>
      </c>
      <c r="AU68" s="166">
        <f t="shared" ref="AU68" si="53">J68</f>
        <v>0</v>
      </c>
      <c r="AV68" s="166">
        <v>100</v>
      </c>
      <c r="AW68" s="241">
        <f t="shared" si="47"/>
        <v>0</v>
      </c>
      <c r="AX68" s="166">
        <f t="shared" si="48"/>
        <v>0</v>
      </c>
      <c r="AY68" s="166">
        <f t="shared" si="49"/>
        <v>1</v>
      </c>
      <c r="AZ68" s="242">
        <f t="shared" si="50"/>
        <v>0</v>
      </c>
      <c r="BA68" s="234">
        <f t="shared" ref="BA68:BA131" si="54">IF($A68="CR",1,0)-BB68</f>
        <v>1</v>
      </c>
      <c r="BB68" s="235">
        <f t="shared" ref="BB68:BB131" si="55">IF(AND($A68="CR",$B68="Restaurant"),1,0)</f>
        <v>0</v>
      </c>
      <c r="BC68" s="235">
        <f t="shared" ref="BC68:BC131" si="56">IF($A68="GC",1,0)</f>
        <v>0</v>
      </c>
      <c r="BD68" s="236">
        <f t="shared" ref="BD68:BD131" si="57">IF($A68="PC",1,0)</f>
        <v>0</v>
      </c>
    </row>
    <row r="69" spans="1:56" s="163" customFormat="1" ht="16.25" customHeight="1">
      <c r="A69" s="163" t="s">
        <v>234</v>
      </c>
      <c r="B69" s="163" t="s">
        <v>288</v>
      </c>
      <c r="C69" s="164" t="s">
        <v>14</v>
      </c>
      <c r="D69" s="165">
        <v>1</v>
      </c>
      <c r="E69" s="177">
        <f>chemicalcontrolsystemcostyear</f>
        <v>2014</v>
      </c>
      <c r="F69" s="203">
        <f>D69*chemicalcontrolsystemunitcost</f>
        <v>13184</v>
      </c>
      <c r="G69" s="167">
        <v>0</v>
      </c>
      <c r="H69" s="206">
        <f t="shared" si="43"/>
        <v>16206.502222526087</v>
      </c>
      <c r="I69" s="166">
        <v>2012</v>
      </c>
      <c r="J69" s="166">
        <v>0</v>
      </c>
      <c r="K69" s="177">
        <f>chemicalcontrolsystemlife</f>
        <v>10</v>
      </c>
      <c r="L69" s="169" t="s">
        <v>444</v>
      </c>
      <c r="M69" s="168">
        <f t="shared" si="39"/>
        <v>0</v>
      </c>
      <c r="N69" s="168">
        <f t="shared" si="39"/>
        <v>0</v>
      </c>
      <c r="O69" s="168">
        <f t="shared" si="39"/>
        <v>17361</v>
      </c>
      <c r="P69" s="168">
        <f t="shared" si="39"/>
        <v>0</v>
      </c>
      <c r="Q69" s="168">
        <f t="shared" si="39"/>
        <v>0</v>
      </c>
      <c r="R69" s="168">
        <f t="shared" si="39"/>
        <v>0</v>
      </c>
      <c r="S69" s="168">
        <f t="shared" si="39"/>
        <v>0</v>
      </c>
      <c r="T69" s="168">
        <f t="shared" si="39"/>
        <v>0</v>
      </c>
      <c r="U69" s="168">
        <f t="shared" si="39"/>
        <v>0</v>
      </c>
      <c r="V69" s="168">
        <f t="shared" si="39"/>
        <v>0</v>
      </c>
      <c r="W69" s="168">
        <f t="shared" si="40"/>
        <v>0</v>
      </c>
      <c r="X69" s="168">
        <f t="shared" si="40"/>
        <v>0</v>
      </c>
      <c r="Y69" s="168">
        <f t="shared" si="40"/>
        <v>24489</v>
      </c>
      <c r="Z69" s="168">
        <f t="shared" si="40"/>
        <v>0</v>
      </c>
      <c r="AA69" s="168">
        <f t="shared" si="40"/>
        <v>0</v>
      </c>
      <c r="AB69" s="168">
        <f t="shared" si="40"/>
        <v>0</v>
      </c>
      <c r="AC69" s="168">
        <f t="shared" si="40"/>
        <v>0</v>
      </c>
      <c r="AD69" s="168">
        <f t="shared" si="40"/>
        <v>0</v>
      </c>
      <c r="AE69" s="168">
        <f t="shared" si="40"/>
        <v>0</v>
      </c>
      <c r="AF69" s="168">
        <f t="shared" si="40"/>
        <v>0</v>
      </c>
      <c r="AG69" s="168">
        <f t="shared" si="41"/>
        <v>0</v>
      </c>
      <c r="AH69" s="168">
        <f t="shared" si="41"/>
        <v>0</v>
      </c>
      <c r="AI69" s="168">
        <f t="shared" si="41"/>
        <v>34544</v>
      </c>
      <c r="AJ69" s="168">
        <f t="shared" si="41"/>
        <v>0</v>
      </c>
      <c r="AK69" s="168">
        <f t="shared" si="41"/>
        <v>0</v>
      </c>
      <c r="AL69" s="168">
        <f t="shared" si="41"/>
        <v>0</v>
      </c>
      <c r="AM69" s="168">
        <f t="shared" si="41"/>
        <v>0</v>
      </c>
      <c r="AN69" s="168">
        <f t="shared" si="41"/>
        <v>0</v>
      </c>
      <c r="AO69" s="168">
        <f t="shared" si="41"/>
        <v>0</v>
      </c>
      <c r="AP69" s="168">
        <f t="shared" si="41"/>
        <v>0</v>
      </c>
      <c r="AQ69" s="170"/>
      <c r="AR69" s="171">
        <f t="shared" si="44"/>
        <v>76394.000100000005</v>
      </c>
      <c r="AT69" s="166">
        <f t="shared" si="45"/>
        <v>2012</v>
      </c>
      <c r="AU69" s="166">
        <f t="shared" si="46"/>
        <v>0</v>
      </c>
      <c r="AV69" s="166">
        <v>100</v>
      </c>
      <c r="AW69" s="241">
        <f t="shared" si="47"/>
        <v>0</v>
      </c>
      <c r="AX69" s="166">
        <f t="shared" si="48"/>
        <v>0</v>
      </c>
      <c r="AY69" s="166">
        <f t="shared" si="49"/>
        <v>1</v>
      </c>
      <c r="AZ69" s="242">
        <f t="shared" si="50"/>
        <v>0</v>
      </c>
      <c r="BA69" s="234">
        <f t="shared" si="54"/>
        <v>1</v>
      </c>
      <c r="BB69" s="235">
        <f t="shared" si="55"/>
        <v>0</v>
      </c>
      <c r="BC69" s="235">
        <f t="shared" si="56"/>
        <v>0</v>
      </c>
      <c r="BD69" s="236">
        <f t="shared" si="57"/>
        <v>0</v>
      </c>
    </row>
    <row r="70" spans="1:56" s="163" customFormat="1" ht="16.25" customHeight="1">
      <c r="A70" s="163" t="s">
        <v>234</v>
      </c>
      <c r="B70" s="163" t="s">
        <v>288</v>
      </c>
      <c r="C70" s="180" t="s">
        <v>204</v>
      </c>
      <c r="D70" s="165">
        <v>1</v>
      </c>
      <c r="E70" s="200">
        <f>pooldehumidificationcostyear</f>
        <v>2012</v>
      </c>
      <c r="F70" s="204">
        <f>D70*pooldehumidificationunitcost</f>
        <v>29700</v>
      </c>
      <c r="G70" s="181">
        <v>0</v>
      </c>
      <c r="H70" s="206">
        <f t="shared" si="43"/>
        <v>39109.228397813065</v>
      </c>
      <c r="I70" s="166">
        <v>2012</v>
      </c>
      <c r="J70" s="166"/>
      <c r="K70" s="177">
        <f>poolhumidificationlife</f>
        <v>15</v>
      </c>
      <c r="L70" s="169" t="s">
        <v>444</v>
      </c>
      <c r="M70" s="168">
        <f t="shared" si="39"/>
        <v>0</v>
      </c>
      <c r="N70" s="168">
        <f t="shared" si="39"/>
        <v>0</v>
      </c>
      <c r="O70" s="168">
        <f t="shared" si="39"/>
        <v>0</v>
      </c>
      <c r="P70" s="168">
        <f t="shared" si="39"/>
        <v>0</v>
      </c>
      <c r="Q70" s="168">
        <f t="shared" si="39"/>
        <v>0</v>
      </c>
      <c r="R70" s="168">
        <f t="shared" si="39"/>
        <v>0</v>
      </c>
      <c r="S70" s="168">
        <f t="shared" si="39"/>
        <v>0</v>
      </c>
      <c r="T70" s="168">
        <f t="shared" si="39"/>
        <v>49758</v>
      </c>
      <c r="U70" s="168">
        <f t="shared" si="39"/>
        <v>0</v>
      </c>
      <c r="V70" s="168">
        <f t="shared" si="39"/>
        <v>0</v>
      </c>
      <c r="W70" s="168">
        <f t="shared" si="40"/>
        <v>0</v>
      </c>
      <c r="X70" s="168">
        <f t="shared" si="40"/>
        <v>0</v>
      </c>
      <c r="Y70" s="168">
        <f t="shared" si="40"/>
        <v>0</v>
      </c>
      <c r="Z70" s="168">
        <f t="shared" si="40"/>
        <v>0</v>
      </c>
      <c r="AA70" s="168">
        <f t="shared" si="40"/>
        <v>0</v>
      </c>
      <c r="AB70" s="168">
        <f t="shared" si="40"/>
        <v>0</v>
      </c>
      <c r="AC70" s="168">
        <f t="shared" si="40"/>
        <v>0</v>
      </c>
      <c r="AD70" s="168">
        <f t="shared" si="40"/>
        <v>0</v>
      </c>
      <c r="AE70" s="168">
        <f t="shared" si="40"/>
        <v>0</v>
      </c>
      <c r="AF70" s="168">
        <f t="shared" si="40"/>
        <v>0</v>
      </c>
      <c r="AG70" s="168">
        <f t="shared" si="41"/>
        <v>0</v>
      </c>
      <c r="AH70" s="168">
        <f t="shared" si="41"/>
        <v>0</v>
      </c>
      <c r="AI70" s="168">
        <f t="shared" si="41"/>
        <v>83362</v>
      </c>
      <c r="AJ70" s="168">
        <f t="shared" si="41"/>
        <v>0</v>
      </c>
      <c r="AK70" s="168">
        <f t="shared" si="41"/>
        <v>0</v>
      </c>
      <c r="AL70" s="168">
        <f t="shared" si="41"/>
        <v>0</v>
      </c>
      <c r="AM70" s="168">
        <f t="shared" si="41"/>
        <v>0</v>
      </c>
      <c r="AN70" s="168">
        <f t="shared" si="41"/>
        <v>0</v>
      </c>
      <c r="AO70" s="168">
        <f t="shared" si="41"/>
        <v>0</v>
      </c>
      <c r="AP70" s="168">
        <f t="shared" si="41"/>
        <v>0</v>
      </c>
      <c r="AQ70" s="170"/>
      <c r="AR70" s="171">
        <f t="shared" si="44"/>
        <v>133120.0001</v>
      </c>
      <c r="AT70" s="166">
        <f t="shared" si="45"/>
        <v>2012</v>
      </c>
      <c r="AU70" s="166">
        <f t="shared" si="46"/>
        <v>0</v>
      </c>
      <c r="AV70" s="166">
        <v>100</v>
      </c>
      <c r="AW70" s="241">
        <f t="shared" si="47"/>
        <v>0</v>
      </c>
      <c r="AX70" s="166">
        <f t="shared" si="48"/>
        <v>0</v>
      </c>
      <c r="AY70" s="166">
        <f t="shared" si="49"/>
        <v>1</v>
      </c>
      <c r="AZ70" s="242">
        <f t="shared" si="50"/>
        <v>0</v>
      </c>
      <c r="BA70" s="234">
        <f t="shared" si="54"/>
        <v>1</v>
      </c>
      <c r="BB70" s="235">
        <f t="shared" si="55"/>
        <v>0</v>
      </c>
      <c r="BC70" s="235">
        <f t="shared" si="56"/>
        <v>0</v>
      </c>
      <c r="BD70" s="236">
        <f t="shared" si="57"/>
        <v>0</v>
      </c>
    </row>
    <row r="71" spans="1:56" s="163" customFormat="1" ht="16.25" customHeight="1">
      <c r="A71" s="163" t="s">
        <v>234</v>
      </c>
      <c r="B71" s="163" t="s">
        <v>288</v>
      </c>
      <c r="C71" s="180" t="s">
        <v>226</v>
      </c>
      <c r="D71" s="165">
        <v>1</v>
      </c>
      <c r="E71" s="200">
        <f>compressor1poolcostyear</f>
        <v>2018</v>
      </c>
      <c r="F71" s="204">
        <f>D71*compressor1poolunitcost</f>
        <v>6948</v>
      </c>
      <c r="G71" s="181">
        <v>0</v>
      </c>
      <c r="H71" s="206">
        <f t="shared" si="43"/>
        <v>7442.8712999999989</v>
      </c>
      <c r="I71" s="166">
        <v>2012</v>
      </c>
      <c r="J71" s="166"/>
      <c r="K71" s="177">
        <f>compressor1poollife</f>
        <v>15</v>
      </c>
      <c r="L71" s="169" t="s">
        <v>444</v>
      </c>
      <c r="M71" s="168">
        <f t="shared" si="39"/>
        <v>0</v>
      </c>
      <c r="N71" s="168">
        <f t="shared" si="39"/>
        <v>0</v>
      </c>
      <c r="O71" s="168">
        <f t="shared" si="39"/>
        <v>0</v>
      </c>
      <c r="P71" s="168">
        <f t="shared" si="39"/>
        <v>0</v>
      </c>
      <c r="Q71" s="168">
        <f t="shared" si="39"/>
        <v>0</v>
      </c>
      <c r="R71" s="168">
        <f t="shared" si="39"/>
        <v>0</v>
      </c>
      <c r="S71" s="168">
        <f t="shared" si="39"/>
        <v>0</v>
      </c>
      <c r="T71" s="168">
        <f t="shared" si="39"/>
        <v>9469</v>
      </c>
      <c r="U71" s="168">
        <f t="shared" si="39"/>
        <v>0</v>
      </c>
      <c r="V71" s="168">
        <f t="shared" si="39"/>
        <v>0</v>
      </c>
      <c r="W71" s="168">
        <f t="shared" si="40"/>
        <v>0</v>
      </c>
      <c r="X71" s="168">
        <f t="shared" si="40"/>
        <v>0</v>
      </c>
      <c r="Y71" s="168">
        <f t="shared" si="40"/>
        <v>0</v>
      </c>
      <c r="Z71" s="168">
        <f t="shared" si="40"/>
        <v>0</v>
      </c>
      <c r="AA71" s="168">
        <f t="shared" si="40"/>
        <v>0</v>
      </c>
      <c r="AB71" s="168">
        <f t="shared" si="40"/>
        <v>0</v>
      </c>
      <c r="AC71" s="168">
        <f t="shared" si="40"/>
        <v>0</v>
      </c>
      <c r="AD71" s="168">
        <f t="shared" si="40"/>
        <v>0</v>
      </c>
      <c r="AE71" s="168">
        <f t="shared" si="40"/>
        <v>0</v>
      </c>
      <c r="AF71" s="168">
        <f t="shared" si="40"/>
        <v>0</v>
      </c>
      <c r="AG71" s="168">
        <f t="shared" si="41"/>
        <v>0</v>
      </c>
      <c r="AH71" s="168">
        <f t="shared" si="41"/>
        <v>0</v>
      </c>
      <c r="AI71" s="168">
        <f t="shared" si="41"/>
        <v>15865</v>
      </c>
      <c r="AJ71" s="168">
        <f t="shared" si="41"/>
        <v>0</v>
      </c>
      <c r="AK71" s="168">
        <f t="shared" si="41"/>
        <v>0</v>
      </c>
      <c r="AL71" s="168">
        <f t="shared" si="41"/>
        <v>0</v>
      </c>
      <c r="AM71" s="168">
        <f t="shared" si="41"/>
        <v>0</v>
      </c>
      <c r="AN71" s="168">
        <f t="shared" si="41"/>
        <v>0</v>
      </c>
      <c r="AO71" s="168">
        <f t="shared" si="41"/>
        <v>0</v>
      </c>
      <c r="AP71" s="168">
        <f t="shared" si="41"/>
        <v>0</v>
      </c>
      <c r="AQ71" s="170"/>
      <c r="AR71" s="171">
        <f t="shared" si="44"/>
        <v>25334.000100000001</v>
      </c>
      <c r="AT71" s="166">
        <f t="shared" si="45"/>
        <v>2012</v>
      </c>
      <c r="AU71" s="166">
        <f t="shared" si="46"/>
        <v>0</v>
      </c>
      <c r="AV71" s="166">
        <v>100</v>
      </c>
      <c r="AW71" s="241">
        <f t="shared" si="47"/>
        <v>0</v>
      </c>
      <c r="AX71" s="166">
        <f t="shared" si="48"/>
        <v>0</v>
      </c>
      <c r="AY71" s="166">
        <f t="shared" si="49"/>
        <v>1</v>
      </c>
      <c r="AZ71" s="242">
        <f t="shared" si="50"/>
        <v>0</v>
      </c>
      <c r="BA71" s="234">
        <f t="shared" si="54"/>
        <v>1</v>
      </c>
      <c r="BB71" s="235">
        <f t="shared" si="55"/>
        <v>0</v>
      </c>
      <c r="BC71" s="235">
        <f t="shared" si="56"/>
        <v>0</v>
      </c>
      <c r="BD71" s="236">
        <f t="shared" si="57"/>
        <v>0</v>
      </c>
    </row>
    <row r="72" spans="1:56" s="163" customFormat="1" ht="16.25" customHeight="1">
      <c r="A72" s="163" t="s">
        <v>234</v>
      </c>
      <c r="B72" s="163" t="s">
        <v>288</v>
      </c>
      <c r="C72" s="180" t="s">
        <v>229</v>
      </c>
      <c r="D72" s="165">
        <v>1</v>
      </c>
      <c r="E72" s="200">
        <f>condensingcoilpoolcostyear</f>
        <v>2018</v>
      </c>
      <c r="F72" s="204">
        <f>D72*condensingcoilpoolunitcost</f>
        <v>5787</v>
      </c>
      <c r="G72" s="181">
        <v>0</v>
      </c>
      <c r="H72" s="206">
        <f t="shared" si="43"/>
        <v>6199.1790749999991</v>
      </c>
      <c r="I72" s="166">
        <v>2012</v>
      </c>
      <c r="J72" s="166"/>
      <c r="K72" s="177">
        <f>compressor1poollife</f>
        <v>15</v>
      </c>
      <c r="L72" s="169" t="s">
        <v>444</v>
      </c>
      <c r="M72" s="168">
        <f t="shared" si="39"/>
        <v>0</v>
      </c>
      <c r="N72" s="168">
        <f t="shared" si="39"/>
        <v>0</v>
      </c>
      <c r="O72" s="168">
        <f t="shared" si="39"/>
        <v>0</v>
      </c>
      <c r="P72" s="168">
        <f t="shared" si="39"/>
        <v>0</v>
      </c>
      <c r="Q72" s="168">
        <f t="shared" si="39"/>
        <v>0</v>
      </c>
      <c r="R72" s="168">
        <f t="shared" si="39"/>
        <v>0</v>
      </c>
      <c r="S72" s="168">
        <f t="shared" si="39"/>
        <v>0</v>
      </c>
      <c r="T72" s="168">
        <f t="shared" si="39"/>
        <v>7887</v>
      </c>
      <c r="U72" s="168">
        <f t="shared" si="39"/>
        <v>0</v>
      </c>
      <c r="V72" s="168">
        <f t="shared" si="39"/>
        <v>0</v>
      </c>
      <c r="W72" s="168">
        <f t="shared" si="40"/>
        <v>0</v>
      </c>
      <c r="X72" s="168">
        <f t="shared" si="40"/>
        <v>0</v>
      </c>
      <c r="Y72" s="168">
        <f t="shared" si="40"/>
        <v>0</v>
      </c>
      <c r="Z72" s="168">
        <f t="shared" si="40"/>
        <v>0</v>
      </c>
      <c r="AA72" s="168">
        <f t="shared" si="40"/>
        <v>0</v>
      </c>
      <c r="AB72" s="168">
        <f t="shared" si="40"/>
        <v>0</v>
      </c>
      <c r="AC72" s="168">
        <f t="shared" si="40"/>
        <v>0</v>
      </c>
      <c r="AD72" s="168">
        <f t="shared" si="40"/>
        <v>0</v>
      </c>
      <c r="AE72" s="168">
        <f t="shared" si="40"/>
        <v>0</v>
      </c>
      <c r="AF72" s="168">
        <f t="shared" si="40"/>
        <v>0</v>
      </c>
      <c r="AG72" s="168">
        <f t="shared" si="41"/>
        <v>0</v>
      </c>
      <c r="AH72" s="168">
        <f t="shared" si="41"/>
        <v>0</v>
      </c>
      <c r="AI72" s="168">
        <f t="shared" si="41"/>
        <v>13214</v>
      </c>
      <c r="AJ72" s="168">
        <f t="shared" si="41"/>
        <v>0</v>
      </c>
      <c r="AK72" s="168">
        <f t="shared" si="41"/>
        <v>0</v>
      </c>
      <c r="AL72" s="168">
        <f t="shared" si="41"/>
        <v>0</v>
      </c>
      <c r="AM72" s="168">
        <f t="shared" si="41"/>
        <v>0</v>
      </c>
      <c r="AN72" s="168">
        <f t="shared" si="41"/>
        <v>0</v>
      </c>
      <c r="AO72" s="168">
        <f t="shared" si="41"/>
        <v>0</v>
      </c>
      <c r="AP72" s="168">
        <f t="shared" si="41"/>
        <v>0</v>
      </c>
      <c r="AQ72" s="170"/>
      <c r="AR72" s="171">
        <f t="shared" si="44"/>
        <v>21101.000100000001</v>
      </c>
      <c r="AT72" s="166">
        <f t="shared" si="45"/>
        <v>2012</v>
      </c>
      <c r="AU72" s="166">
        <f t="shared" si="46"/>
        <v>0</v>
      </c>
      <c r="AV72" s="166">
        <v>100</v>
      </c>
      <c r="AW72" s="241">
        <f t="shared" si="47"/>
        <v>0</v>
      </c>
      <c r="AX72" s="166">
        <f t="shared" si="48"/>
        <v>0</v>
      </c>
      <c r="AY72" s="166">
        <f t="shared" si="49"/>
        <v>1</v>
      </c>
      <c r="AZ72" s="242">
        <f t="shared" si="50"/>
        <v>0</v>
      </c>
      <c r="BA72" s="234">
        <f t="shared" si="54"/>
        <v>1</v>
      </c>
      <c r="BB72" s="235">
        <f t="shared" si="55"/>
        <v>0</v>
      </c>
      <c r="BC72" s="235">
        <f t="shared" si="56"/>
        <v>0</v>
      </c>
      <c r="BD72" s="236">
        <f t="shared" si="57"/>
        <v>0</v>
      </c>
    </row>
    <row r="73" spans="1:56" s="163" customFormat="1" ht="16.25" customHeight="1">
      <c r="A73" s="163" t="s">
        <v>234</v>
      </c>
      <c r="B73" s="163" t="s">
        <v>288</v>
      </c>
      <c r="C73" s="164" t="s">
        <v>19</v>
      </c>
      <c r="D73" s="165">
        <v>1</v>
      </c>
      <c r="E73" s="177">
        <f>deckindoorpoolcostyear</f>
        <v>2014</v>
      </c>
      <c r="F73" s="203">
        <f>D73*deckindoorpoolunitcost</f>
        <v>46680</v>
      </c>
      <c r="G73" s="167">
        <v>0</v>
      </c>
      <c r="H73" s="206">
        <f t="shared" si="43"/>
        <v>57381.63863376197</v>
      </c>
      <c r="I73" s="166">
        <v>2012</v>
      </c>
      <c r="J73" s="166">
        <v>0</v>
      </c>
      <c r="K73" s="177">
        <f>deckindoorpoollife</f>
        <v>20</v>
      </c>
      <c r="L73" s="169" t="s">
        <v>444</v>
      </c>
      <c r="M73" s="168">
        <f t="shared" si="39"/>
        <v>0</v>
      </c>
      <c r="N73" s="168">
        <f t="shared" si="39"/>
        <v>0</v>
      </c>
      <c r="O73" s="168">
        <f t="shared" si="39"/>
        <v>0</v>
      </c>
      <c r="P73" s="168">
        <f t="shared" si="39"/>
        <v>0</v>
      </c>
      <c r="Q73" s="168">
        <f t="shared" si="39"/>
        <v>0</v>
      </c>
      <c r="R73" s="168">
        <f t="shared" si="39"/>
        <v>0</v>
      </c>
      <c r="S73" s="168">
        <f t="shared" si="39"/>
        <v>0</v>
      </c>
      <c r="T73" s="168">
        <f t="shared" si="39"/>
        <v>0</v>
      </c>
      <c r="U73" s="168">
        <f t="shared" si="39"/>
        <v>0</v>
      </c>
      <c r="V73" s="168">
        <f t="shared" si="39"/>
        <v>0</v>
      </c>
      <c r="W73" s="168">
        <f t="shared" si="40"/>
        <v>0</v>
      </c>
      <c r="X73" s="168">
        <f t="shared" si="40"/>
        <v>0</v>
      </c>
      <c r="Y73" s="168">
        <f t="shared" si="40"/>
        <v>86708</v>
      </c>
      <c r="Z73" s="168">
        <f t="shared" si="40"/>
        <v>0</v>
      </c>
      <c r="AA73" s="168">
        <f t="shared" si="40"/>
        <v>0</v>
      </c>
      <c r="AB73" s="168">
        <f t="shared" si="40"/>
        <v>0</v>
      </c>
      <c r="AC73" s="168">
        <f t="shared" si="40"/>
        <v>0</v>
      </c>
      <c r="AD73" s="168">
        <f t="shared" si="40"/>
        <v>0</v>
      </c>
      <c r="AE73" s="168">
        <f t="shared" si="40"/>
        <v>0</v>
      </c>
      <c r="AF73" s="168">
        <f t="shared" si="40"/>
        <v>0</v>
      </c>
      <c r="AG73" s="168">
        <f t="shared" si="41"/>
        <v>0</v>
      </c>
      <c r="AH73" s="168">
        <f t="shared" si="41"/>
        <v>0</v>
      </c>
      <c r="AI73" s="168">
        <f t="shared" si="41"/>
        <v>0</v>
      </c>
      <c r="AJ73" s="168">
        <f t="shared" si="41"/>
        <v>0</v>
      </c>
      <c r="AK73" s="168">
        <f t="shared" si="41"/>
        <v>0</v>
      </c>
      <c r="AL73" s="168">
        <f t="shared" si="41"/>
        <v>0</v>
      </c>
      <c r="AM73" s="168">
        <f t="shared" si="41"/>
        <v>0</v>
      </c>
      <c r="AN73" s="168">
        <f t="shared" si="41"/>
        <v>0</v>
      </c>
      <c r="AO73" s="168">
        <f t="shared" si="41"/>
        <v>0</v>
      </c>
      <c r="AP73" s="168">
        <f t="shared" si="41"/>
        <v>0</v>
      </c>
      <c r="AQ73" s="170"/>
      <c r="AR73" s="171">
        <f t="shared" si="44"/>
        <v>86708.000100000005</v>
      </c>
      <c r="AT73" s="166">
        <f t="shared" si="45"/>
        <v>2012</v>
      </c>
      <c r="AU73" s="166">
        <f t="shared" si="46"/>
        <v>0</v>
      </c>
      <c r="AV73" s="166">
        <v>100</v>
      </c>
      <c r="AW73" s="241">
        <f t="shared" si="47"/>
        <v>0</v>
      </c>
      <c r="AX73" s="166">
        <f t="shared" si="48"/>
        <v>0</v>
      </c>
      <c r="AY73" s="166">
        <f t="shared" si="49"/>
        <v>1</v>
      </c>
      <c r="AZ73" s="242">
        <f t="shared" si="50"/>
        <v>0</v>
      </c>
      <c r="BA73" s="234">
        <f t="shared" si="54"/>
        <v>1</v>
      </c>
      <c r="BB73" s="235">
        <f t="shared" si="55"/>
        <v>0</v>
      </c>
      <c r="BC73" s="235">
        <f t="shared" si="56"/>
        <v>0</v>
      </c>
      <c r="BD73" s="236">
        <f t="shared" si="57"/>
        <v>0</v>
      </c>
    </row>
    <row r="74" spans="1:56" s="163" customFormat="1" ht="16.25" customHeight="1">
      <c r="A74" s="163" t="s">
        <v>234</v>
      </c>
      <c r="B74" s="163" t="s">
        <v>288</v>
      </c>
      <c r="C74" s="164" t="s">
        <v>20</v>
      </c>
      <c r="D74" s="165">
        <v>1</v>
      </c>
      <c r="E74" s="177">
        <f>deckoutdoorpoolcostyear</f>
        <v>2014</v>
      </c>
      <c r="F74" s="203">
        <f>D74*deckoutdoorpoolunitcost</f>
        <v>11124</v>
      </c>
      <c r="G74" s="167">
        <v>0</v>
      </c>
      <c r="H74" s="206">
        <f t="shared" si="43"/>
        <v>13674.236250256386</v>
      </c>
      <c r="I74" s="166">
        <v>2012</v>
      </c>
      <c r="J74" s="166">
        <v>0</v>
      </c>
      <c r="K74" s="177">
        <f>deckoutdoorpoollife</f>
        <v>20</v>
      </c>
      <c r="L74" s="169" t="s">
        <v>444</v>
      </c>
      <c r="M74" s="168">
        <f t="shared" ref="M74:V81" si="58">ROUND($H74*IF(AND(M$1&gt;=($I74+$J74),MOD(M$1-($I74+$J74),$K74)=0),(1+InflationRate)^(M$1-AnalysisYear),0),0)*IF(AND(M$1&gt;=($AT74+$AU74),(M$1-($AT74+$AU74))&lt;&gt;0,MOD(M$1-($AT74+$AU74),$AV74)=0),0,1)</f>
        <v>0</v>
      </c>
      <c r="N74" s="168">
        <f t="shared" si="58"/>
        <v>0</v>
      </c>
      <c r="O74" s="168">
        <f t="shared" si="58"/>
        <v>0</v>
      </c>
      <c r="P74" s="168">
        <f t="shared" si="58"/>
        <v>0</v>
      </c>
      <c r="Q74" s="168">
        <f t="shared" si="58"/>
        <v>0</v>
      </c>
      <c r="R74" s="168">
        <f t="shared" si="58"/>
        <v>0</v>
      </c>
      <c r="S74" s="168">
        <f t="shared" si="58"/>
        <v>0</v>
      </c>
      <c r="T74" s="168">
        <f t="shared" si="58"/>
        <v>0</v>
      </c>
      <c r="U74" s="168">
        <f t="shared" si="58"/>
        <v>0</v>
      </c>
      <c r="V74" s="168">
        <f t="shared" si="58"/>
        <v>0</v>
      </c>
      <c r="W74" s="168">
        <f t="shared" ref="W74:AF81" si="59">ROUND($H74*IF(AND(W$1&gt;=($I74+$J74),MOD(W$1-($I74+$J74),$K74)=0),(1+InflationRate)^(W$1-AnalysisYear),0),0)*IF(AND(W$1&gt;=($AT74+$AU74),(W$1-($AT74+$AU74))&lt;&gt;0,MOD(W$1-($AT74+$AU74),$AV74)=0),0,1)</f>
        <v>0</v>
      </c>
      <c r="X74" s="168">
        <f t="shared" si="59"/>
        <v>0</v>
      </c>
      <c r="Y74" s="168">
        <f t="shared" si="59"/>
        <v>20663</v>
      </c>
      <c r="Z74" s="168">
        <f t="shared" si="59"/>
        <v>0</v>
      </c>
      <c r="AA74" s="168">
        <f t="shared" si="59"/>
        <v>0</v>
      </c>
      <c r="AB74" s="168">
        <f t="shared" si="59"/>
        <v>0</v>
      </c>
      <c r="AC74" s="168">
        <f t="shared" si="59"/>
        <v>0</v>
      </c>
      <c r="AD74" s="168">
        <f t="shared" si="59"/>
        <v>0</v>
      </c>
      <c r="AE74" s="168">
        <f t="shared" si="59"/>
        <v>0</v>
      </c>
      <c r="AF74" s="168">
        <f t="shared" si="59"/>
        <v>0</v>
      </c>
      <c r="AG74" s="168">
        <f t="shared" ref="AG74:AP81" si="60">ROUND($H74*IF(AND(AG$1&gt;=($I74+$J74),MOD(AG$1-($I74+$J74),$K74)=0),(1+InflationRate)^(AG$1-AnalysisYear),0),0)*IF(AND(AG$1&gt;=($AT74+$AU74),(AG$1-($AT74+$AU74))&lt;&gt;0,MOD(AG$1-($AT74+$AU74),$AV74)=0),0,1)</f>
        <v>0</v>
      </c>
      <c r="AH74" s="168">
        <f t="shared" si="60"/>
        <v>0</v>
      </c>
      <c r="AI74" s="168">
        <f t="shared" si="60"/>
        <v>0</v>
      </c>
      <c r="AJ74" s="168">
        <f t="shared" si="60"/>
        <v>0</v>
      </c>
      <c r="AK74" s="168">
        <f t="shared" si="60"/>
        <v>0</v>
      </c>
      <c r="AL74" s="168">
        <f t="shared" si="60"/>
        <v>0</v>
      </c>
      <c r="AM74" s="168">
        <f t="shared" si="60"/>
        <v>0</v>
      </c>
      <c r="AN74" s="168">
        <f t="shared" si="60"/>
        <v>0</v>
      </c>
      <c r="AO74" s="168">
        <f t="shared" si="60"/>
        <v>0</v>
      </c>
      <c r="AP74" s="168">
        <f t="shared" si="60"/>
        <v>0</v>
      </c>
      <c r="AQ74" s="170"/>
      <c r="AR74" s="171">
        <f t="shared" si="44"/>
        <v>20663.000100000001</v>
      </c>
      <c r="AT74" s="166">
        <f t="shared" si="45"/>
        <v>2012</v>
      </c>
      <c r="AU74" s="166">
        <f t="shared" si="46"/>
        <v>0</v>
      </c>
      <c r="AV74" s="166">
        <v>100</v>
      </c>
      <c r="AW74" s="241">
        <f t="shared" si="47"/>
        <v>0</v>
      </c>
      <c r="AX74" s="166">
        <f t="shared" si="48"/>
        <v>0</v>
      </c>
      <c r="AY74" s="166">
        <f t="shared" si="49"/>
        <v>1</v>
      </c>
      <c r="AZ74" s="242">
        <f t="shared" si="50"/>
        <v>0</v>
      </c>
      <c r="BA74" s="234">
        <f t="shared" si="54"/>
        <v>1</v>
      </c>
      <c r="BB74" s="235">
        <f t="shared" si="55"/>
        <v>0</v>
      </c>
      <c r="BC74" s="235">
        <f t="shared" si="56"/>
        <v>0</v>
      </c>
      <c r="BD74" s="236">
        <f t="shared" si="57"/>
        <v>0</v>
      </c>
    </row>
    <row r="75" spans="1:56" s="163" customFormat="1" ht="16.25" customHeight="1">
      <c r="A75" s="163" t="s">
        <v>234</v>
      </c>
      <c r="B75" s="163" t="s">
        <v>288</v>
      </c>
      <c r="C75" s="180" t="s">
        <v>228</v>
      </c>
      <c r="D75" s="165">
        <v>1</v>
      </c>
      <c r="E75" s="200">
        <f>evaporatovecoilpoolcostyear</f>
        <v>2018</v>
      </c>
      <c r="F75" s="204">
        <f>D75*evaporativecoilpoolunitcost</f>
        <v>7912</v>
      </c>
      <c r="G75" s="181">
        <v>0</v>
      </c>
      <c r="H75" s="206">
        <f t="shared" si="43"/>
        <v>8475.5321999999996</v>
      </c>
      <c r="I75" s="166">
        <v>2012</v>
      </c>
      <c r="J75" s="166"/>
      <c r="K75" s="177">
        <f>evaporativecoilpoollife</f>
        <v>15</v>
      </c>
      <c r="L75" s="169" t="s">
        <v>444</v>
      </c>
      <c r="M75" s="168">
        <f t="shared" si="58"/>
        <v>0</v>
      </c>
      <c r="N75" s="168">
        <f t="shared" si="58"/>
        <v>0</v>
      </c>
      <c r="O75" s="168">
        <f t="shared" si="58"/>
        <v>0</v>
      </c>
      <c r="P75" s="168">
        <f t="shared" si="58"/>
        <v>0</v>
      </c>
      <c r="Q75" s="168">
        <f t="shared" si="58"/>
        <v>0</v>
      </c>
      <c r="R75" s="168">
        <f t="shared" si="58"/>
        <v>0</v>
      </c>
      <c r="S75" s="168">
        <f t="shared" si="58"/>
        <v>0</v>
      </c>
      <c r="T75" s="168">
        <f t="shared" si="58"/>
        <v>10783</v>
      </c>
      <c r="U75" s="168">
        <f t="shared" si="58"/>
        <v>0</v>
      </c>
      <c r="V75" s="168">
        <f t="shared" si="58"/>
        <v>0</v>
      </c>
      <c r="W75" s="168">
        <f t="shared" si="59"/>
        <v>0</v>
      </c>
      <c r="X75" s="168">
        <f t="shared" si="59"/>
        <v>0</v>
      </c>
      <c r="Y75" s="168">
        <f t="shared" si="59"/>
        <v>0</v>
      </c>
      <c r="Z75" s="168">
        <f t="shared" si="59"/>
        <v>0</v>
      </c>
      <c r="AA75" s="168">
        <f t="shared" si="59"/>
        <v>0</v>
      </c>
      <c r="AB75" s="168">
        <f t="shared" si="59"/>
        <v>0</v>
      </c>
      <c r="AC75" s="168">
        <f t="shared" si="59"/>
        <v>0</v>
      </c>
      <c r="AD75" s="168">
        <f t="shared" si="59"/>
        <v>0</v>
      </c>
      <c r="AE75" s="168">
        <f t="shared" si="59"/>
        <v>0</v>
      </c>
      <c r="AF75" s="168">
        <f t="shared" si="59"/>
        <v>0</v>
      </c>
      <c r="AG75" s="168">
        <f t="shared" si="60"/>
        <v>0</v>
      </c>
      <c r="AH75" s="168">
        <f t="shared" si="60"/>
        <v>0</v>
      </c>
      <c r="AI75" s="168">
        <f t="shared" si="60"/>
        <v>18066</v>
      </c>
      <c r="AJ75" s="168">
        <f t="shared" si="60"/>
        <v>0</v>
      </c>
      <c r="AK75" s="168">
        <f t="shared" si="60"/>
        <v>0</v>
      </c>
      <c r="AL75" s="168">
        <f t="shared" si="60"/>
        <v>0</v>
      </c>
      <c r="AM75" s="168">
        <f t="shared" si="60"/>
        <v>0</v>
      </c>
      <c r="AN75" s="168">
        <f t="shared" si="60"/>
        <v>0</v>
      </c>
      <c r="AO75" s="168">
        <f t="shared" si="60"/>
        <v>0</v>
      </c>
      <c r="AP75" s="168">
        <f t="shared" si="60"/>
        <v>0</v>
      </c>
      <c r="AQ75" s="170"/>
      <c r="AR75" s="171">
        <f t="shared" si="44"/>
        <v>28849.000100000001</v>
      </c>
      <c r="AT75" s="166">
        <f t="shared" si="45"/>
        <v>2012</v>
      </c>
      <c r="AU75" s="166">
        <f t="shared" si="46"/>
        <v>0</v>
      </c>
      <c r="AV75" s="166">
        <v>100</v>
      </c>
      <c r="AW75" s="241">
        <f t="shared" si="47"/>
        <v>0</v>
      </c>
      <c r="AX75" s="166">
        <f t="shared" si="48"/>
        <v>0</v>
      </c>
      <c r="AY75" s="166">
        <f t="shared" si="49"/>
        <v>1</v>
      </c>
      <c r="AZ75" s="242">
        <f t="shared" si="50"/>
        <v>0</v>
      </c>
      <c r="BA75" s="234">
        <f t="shared" si="54"/>
        <v>1</v>
      </c>
      <c r="BB75" s="235">
        <f t="shared" si="55"/>
        <v>0</v>
      </c>
      <c r="BC75" s="235">
        <f t="shared" si="56"/>
        <v>0</v>
      </c>
      <c r="BD75" s="236">
        <f t="shared" si="57"/>
        <v>0</v>
      </c>
    </row>
    <row r="76" spans="1:56" s="163" customFormat="1" ht="16.25" customHeight="1">
      <c r="A76" s="163" t="s">
        <v>234</v>
      </c>
      <c r="B76" s="163" t="s">
        <v>288</v>
      </c>
      <c r="C76" s="164" t="s">
        <v>203</v>
      </c>
      <c r="D76" s="165">
        <v>288</v>
      </c>
      <c r="E76" s="177">
        <f>fenceoutdoorpoolcostyear</f>
        <v>2019</v>
      </c>
      <c r="F76" s="203">
        <f>D76*fenceoutdoorpoolunitcost</f>
        <v>22000.32</v>
      </c>
      <c r="G76" s="167">
        <v>0</v>
      </c>
      <c r="H76" s="206">
        <f t="shared" si="43"/>
        <v>22770.331199999997</v>
      </c>
      <c r="I76" s="166">
        <v>2013</v>
      </c>
      <c r="J76" s="166">
        <v>0</v>
      </c>
      <c r="K76" s="177">
        <f>fenceoutdoorpoollife</f>
        <v>20</v>
      </c>
      <c r="L76" s="169" t="s">
        <v>444</v>
      </c>
      <c r="M76" s="168">
        <f t="shared" si="58"/>
        <v>0</v>
      </c>
      <c r="N76" s="168">
        <f t="shared" si="58"/>
        <v>0</v>
      </c>
      <c r="O76" s="168">
        <f t="shared" si="58"/>
        <v>0</v>
      </c>
      <c r="P76" s="168">
        <f t="shared" si="58"/>
        <v>0</v>
      </c>
      <c r="Q76" s="168">
        <f t="shared" si="58"/>
        <v>0</v>
      </c>
      <c r="R76" s="168">
        <f t="shared" si="58"/>
        <v>0</v>
      </c>
      <c r="S76" s="168">
        <f t="shared" si="58"/>
        <v>0</v>
      </c>
      <c r="T76" s="168">
        <f t="shared" si="58"/>
        <v>0</v>
      </c>
      <c r="U76" s="168">
        <f t="shared" si="58"/>
        <v>0</v>
      </c>
      <c r="V76" s="168">
        <f t="shared" si="58"/>
        <v>0</v>
      </c>
      <c r="W76" s="168">
        <f t="shared" si="59"/>
        <v>0</v>
      </c>
      <c r="X76" s="168">
        <f t="shared" si="59"/>
        <v>0</v>
      </c>
      <c r="Y76" s="168">
        <f t="shared" si="59"/>
        <v>0</v>
      </c>
      <c r="Z76" s="168">
        <f t="shared" si="59"/>
        <v>35612</v>
      </c>
      <c r="AA76" s="168">
        <f t="shared" si="59"/>
        <v>0</v>
      </c>
      <c r="AB76" s="168">
        <f t="shared" si="59"/>
        <v>0</v>
      </c>
      <c r="AC76" s="168">
        <f t="shared" si="59"/>
        <v>0</v>
      </c>
      <c r="AD76" s="168">
        <f t="shared" si="59"/>
        <v>0</v>
      </c>
      <c r="AE76" s="168">
        <f t="shared" si="59"/>
        <v>0</v>
      </c>
      <c r="AF76" s="168">
        <f t="shared" si="59"/>
        <v>0</v>
      </c>
      <c r="AG76" s="168">
        <f t="shared" si="60"/>
        <v>0</v>
      </c>
      <c r="AH76" s="168">
        <f t="shared" si="60"/>
        <v>0</v>
      </c>
      <c r="AI76" s="168">
        <f t="shared" si="60"/>
        <v>0</v>
      </c>
      <c r="AJ76" s="168">
        <f t="shared" si="60"/>
        <v>0</v>
      </c>
      <c r="AK76" s="168">
        <f t="shared" si="60"/>
        <v>0</v>
      </c>
      <c r="AL76" s="168">
        <f t="shared" si="60"/>
        <v>0</v>
      </c>
      <c r="AM76" s="168">
        <f t="shared" si="60"/>
        <v>0</v>
      </c>
      <c r="AN76" s="168">
        <f t="shared" si="60"/>
        <v>0</v>
      </c>
      <c r="AO76" s="168">
        <f t="shared" si="60"/>
        <v>0</v>
      </c>
      <c r="AP76" s="168">
        <f t="shared" si="60"/>
        <v>0</v>
      </c>
      <c r="AQ76" s="170"/>
      <c r="AR76" s="171">
        <f t="shared" si="44"/>
        <v>35612.000099999997</v>
      </c>
      <c r="AT76" s="166">
        <f t="shared" si="45"/>
        <v>2013</v>
      </c>
      <c r="AU76" s="166">
        <f t="shared" si="46"/>
        <v>0</v>
      </c>
      <c r="AV76" s="166">
        <v>100</v>
      </c>
      <c r="AW76" s="241">
        <f t="shared" si="47"/>
        <v>0</v>
      </c>
      <c r="AX76" s="166">
        <f t="shared" si="48"/>
        <v>0</v>
      </c>
      <c r="AY76" s="166">
        <f t="shared" si="49"/>
        <v>1</v>
      </c>
      <c r="AZ76" s="242">
        <f t="shared" si="50"/>
        <v>0</v>
      </c>
      <c r="BA76" s="234">
        <f t="shared" si="54"/>
        <v>1</v>
      </c>
      <c r="BB76" s="235">
        <f t="shared" si="55"/>
        <v>0</v>
      </c>
      <c r="BC76" s="235">
        <f t="shared" si="56"/>
        <v>0</v>
      </c>
      <c r="BD76" s="236">
        <f t="shared" si="57"/>
        <v>0</v>
      </c>
    </row>
    <row r="77" spans="1:56" s="163" customFormat="1" ht="16.25" customHeight="1">
      <c r="A77" s="163" t="s">
        <v>234</v>
      </c>
      <c r="B77" s="163" t="s">
        <v>288</v>
      </c>
      <c r="C77" s="164" t="s">
        <v>313</v>
      </c>
      <c r="D77" s="165">
        <v>1</v>
      </c>
      <c r="E77" s="177">
        <f>Indoorpoollightingcostyear</f>
        <v>2017</v>
      </c>
      <c r="F77" s="206">
        <f>D77*Indoorpoollightingunitcost</f>
        <v>8271</v>
      </c>
      <c r="G77" s="167">
        <v>0</v>
      </c>
      <c r="H77" s="206">
        <f t="shared" si="43"/>
        <v>9170.2055441249977</v>
      </c>
      <c r="I77" s="166">
        <v>2017</v>
      </c>
      <c r="J77" s="166"/>
      <c r="K77" s="177">
        <f>Indoorpoollightinglife</f>
        <v>20</v>
      </c>
      <c r="L77" s="169" t="s">
        <v>444</v>
      </c>
      <c r="M77" s="168">
        <f t="shared" si="58"/>
        <v>0</v>
      </c>
      <c r="N77" s="168">
        <f t="shared" si="58"/>
        <v>0</v>
      </c>
      <c r="O77" s="168">
        <f t="shared" si="58"/>
        <v>0</v>
      </c>
      <c r="P77" s="168">
        <f t="shared" si="58"/>
        <v>0</v>
      </c>
      <c r="Q77" s="168">
        <f t="shared" si="58"/>
        <v>0</v>
      </c>
      <c r="R77" s="168">
        <f t="shared" si="58"/>
        <v>0</v>
      </c>
      <c r="S77" s="168">
        <f t="shared" si="58"/>
        <v>0</v>
      </c>
      <c r="T77" s="168">
        <f t="shared" si="58"/>
        <v>0</v>
      </c>
      <c r="U77" s="168">
        <f t="shared" si="58"/>
        <v>0</v>
      </c>
      <c r="V77" s="168">
        <f t="shared" si="58"/>
        <v>0</v>
      </c>
      <c r="W77" s="168">
        <f t="shared" si="59"/>
        <v>0</v>
      </c>
      <c r="X77" s="168">
        <f t="shared" si="59"/>
        <v>0</v>
      </c>
      <c r="Y77" s="168">
        <f t="shared" si="59"/>
        <v>0</v>
      </c>
      <c r="Z77" s="168">
        <f t="shared" si="59"/>
        <v>0</v>
      </c>
      <c r="AA77" s="168">
        <f t="shared" si="59"/>
        <v>0</v>
      </c>
      <c r="AB77" s="168">
        <f t="shared" si="59"/>
        <v>0</v>
      </c>
      <c r="AC77" s="168">
        <f t="shared" si="59"/>
        <v>0</v>
      </c>
      <c r="AD77" s="168">
        <f t="shared" si="59"/>
        <v>16458</v>
      </c>
      <c r="AE77" s="168">
        <f t="shared" si="59"/>
        <v>0</v>
      </c>
      <c r="AF77" s="168">
        <f t="shared" si="59"/>
        <v>0</v>
      </c>
      <c r="AG77" s="168">
        <f t="shared" si="60"/>
        <v>0</v>
      </c>
      <c r="AH77" s="168">
        <f t="shared" si="60"/>
        <v>0</v>
      </c>
      <c r="AI77" s="168">
        <f t="shared" si="60"/>
        <v>0</v>
      </c>
      <c r="AJ77" s="168">
        <f t="shared" si="60"/>
        <v>0</v>
      </c>
      <c r="AK77" s="168">
        <f t="shared" si="60"/>
        <v>0</v>
      </c>
      <c r="AL77" s="168">
        <f t="shared" si="60"/>
        <v>0</v>
      </c>
      <c r="AM77" s="168">
        <f t="shared" si="60"/>
        <v>0</v>
      </c>
      <c r="AN77" s="168">
        <f t="shared" si="60"/>
        <v>0</v>
      </c>
      <c r="AO77" s="168">
        <f t="shared" si="60"/>
        <v>0</v>
      </c>
      <c r="AP77" s="168">
        <f t="shared" si="60"/>
        <v>0</v>
      </c>
      <c r="AQ77" s="170"/>
      <c r="AR77" s="171">
        <f t="shared" si="44"/>
        <v>16458.000100000001</v>
      </c>
      <c r="AT77" s="166">
        <f t="shared" si="45"/>
        <v>2017</v>
      </c>
      <c r="AU77" s="166">
        <f t="shared" si="46"/>
        <v>0</v>
      </c>
      <c r="AV77" s="166">
        <v>100</v>
      </c>
      <c r="AW77" s="241">
        <f t="shared" si="47"/>
        <v>0</v>
      </c>
      <c r="AX77" s="166">
        <f t="shared" si="48"/>
        <v>0</v>
      </c>
      <c r="AY77" s="166">
        <f t="shared" si="49"/>
        <v>1</v>
      </c>
      <c r="AZ77" s="242">
        <f t="shared" si="50"/>
        <v>0</v>
      </c>
      <c r="BA77" s="234">
        <f t="shared" si="54"/>
        <v>1</v>
      </c>
      <c r="BB77" s="235">
        <f t="shared" si="55"/>
        <v>0</v>
      </c>
      <c r="BC77" s="235">
        <f t="shared" si="56"/>
        <v>0</v>
      </c>
      <c r="BD77" s="236">
        <f t="shared" si="57"/>
        <v>0</v>
      </c>
    </row>
    <row r="78" spans="1:56" s="163" customFormat="1" ht="16.25" customHeight="1">
      <c r="A78" s="163" t="s">
        <v>234</v>
      </c>
      <c r="B78" s="163" t="s">
        <v>288</v>
      </c>
      <c r="C78" s="180" t="s">
        <v>208</v>
      </c>
      <c r="D78" s="165">
        <v>1</v>
      </c>
      <c r="E78" s="200">
        <f>IndoorPoolUVcostyear</f>
        <v>2018</v>
      </c>
      <c r="F78" s="204">
        <f>D78*IndoorPoolUVunitcost</f>
        <v>6873</v>
      </c>
      <c r="G78" s="181">
        <v>0</v>
      </c>
      <c r="H78" s="206">
        <f t="shared" si="43"/>
        <v>7362.5294249999988</v>
      </c>
      <c r="I78" s="166">
        <v>2012</v>
      </c>
      <c r="J78" s="166"/>
      <c r="K78" s="177">
        <f>IndoorpoolUVlife</f>
        <v>15</v>
      </c>
      <c r="L78" s="169" t="s">
        <v>444</v>
      </c>
      <c r="M78" s="168">
        <f t="shared" si="58"/>
        <v>0</v>
      </c>
      <c r="N78" s="168">
        <f t="shared" si="58"/>
        <v>0</v>
      </c>
      <c r="O78" s="168">
        <f t="shared" si="58"/>
        <v>0</v>
      </c>
      <c r="P78" s="168">
        <f t="shared" si="58"/>
        <v>0</v>
      </c>
      <c r="Q78" s="168">
        <f t="shared" si="58"/>
        <v>0</v>
      </c>
      <c r="R78" s="168">
        <f t="shared" si="58"/>
        <v>0</v>
      </c>
      <c r="S78" s="168">
        <f t="shared" si="58"/>
        <v>0</v>
      </c>
      <c r="T78" s="168">
        <f t="shared" si="58"/>
        <v>9367</v>
      </c>
      <c r="U78" s="168">
        <f t="shared" si="58"/>
        <v>0</v>
      </c>
      <c r="V78" s="168">
        <f t="shared" si="58"/>
        <v>0</v>
      </c>
      <c r="W78" s="168">
        <f t="shared" si="59"/>
        <v>0</v>
      </c>
      <c r="X78" s="168">
        <f t="shared" si="59"/>
        <v>0</v>
      </c>
      <c r="Y78" s="168">
        <f t="shared" si="59"/>
        <v>0</v>
      </c>
      <c r="Z78" s="168">
        <f t="shared" si="59"/>
        <v>0</v>
      </c>
      <c r="AA78" s="168">
        <f t="shared" si="59"/>
        <v>0</v>
      </c>
      <c r="AB78" s="168">
        <f t="shared" si="59"/>
        <v>0</v>
      </c>
      <c r="AC78" s="168">
        <f t="shared" si="59"/>
        <v>0</v>
      </c>
      <c r="AD78" s="168">
        <f t="shared" si="59"/>
        <v>0</v>
      </c>
      <c r="AE78" s="168">
        <f t="shared" si="59"/>
        <v>0</v>
      </c>
      <c r="AF78" s="168">
        <f t="shared" si="59"/>
        <v>0</v>
      </c>
      <c r="AG78" s="168">
        <f t="shared" si="60"/>
        <v>0</v>
      </c>
      <c r="AH78" s="168">
        <f t="shared" si="60"/>
        <v>0</v>
      </c>
      <c r="AI78" s="168">
        <f t="shared" si="60"/>
        <v>15693</v>
      </c>
      <c r="AJ78" s="168">
        <f t="shared" si="60"/>
        <v>0</v>
      </c>
      <c r="AK78" s="168">
        <f t="shared" si="60"/>
        <v>0</v>
      </c>
      <c r="AL78" s="168">
        <f t="shared" si="60"/>
        <v>0</v>
      </c>
      <c r="AM78" s="168">
        <f t="shared" si="60"/>
        <v>0</v>
      </c>
      <c r="AN78" s="168">
        <f t="shared" si="60"/>
        <v>0</v>
      </c>
      <c r="AO78" s="168">
        <f t="shared" si="60"/>
        <v>0</v>
      </c>
      <c r="AP78" s="168">
        <f t="shared" si="60"/>
        <v>0</v>
      </c>
      <c r="AQ78" s="170"/>
      <c r="AR78" s="171">
        <f t="shared" si="44"/>
        <v>25060.000100000001</v>
      </c>
      <c r="AT78" s="166">
        <f t="shared" si="45"/>
        <v>2012</v>
      </c>
      <c r="AU78" s="166">
        <f t="shared" si="46"/>
        <v>0</v>
      </c>
      <c r="AV78" s="166">
        <v>100</v>
      </c>
      <c r="AW78" s="241">
        <f t="shared" si="47"/>
        <v>0</v>
      </c>
      <c r="AX78" s="166">
        <f t="shared" si="48"/>
        <v>0</v>
      </c>
      <c r="AY78" s="166">
        <f t="shared" si="49"/>
        <v>1</v>
      </c>
      <c r="AZ78" s="242">
        <f t="shared" si="50"/>
        <v>0</v>
      </c>
      <c r="BA78" s="234">
        <f t="shared" si="54"/>
        <v>1</v>
      </c>
      <c r="BB78" s="235">
        <f t="shared" si="55"/>
        <v>0</v>
      </c>
      <c r="BC78" s="235">
        <f t="shared" si="56"/>
        <v>0</v>
      </c>
      <c r="BD78" s="236">
        <f t="shared" si="57"/>
        <v>0</v>
      </c>
    </row>
    <row r="79" spans="1:56" s="163" customFormat="1" ht="16.25" customHeight="1">
      <c r="A79" s="163" t="s">
        <v>234</v>
      </c>
      <c r="B79" s="163" t="s">
        <v>288</v>
      </c>
      <c r="C79" s="180" t="s">
        <v>124</v>
      </c>
      <c r="D79" s="165">
        <v>1</v>
      </c>
      <c r="E79" s="201">
        <f>pooldehumidificationcostyear</f>
        <v>2012</v>
      </c>
      <c r="F79" s="205">
        <f>D79*pooldehumidificationunitcost</f>
        <v>29700</v>
      </c>
      <c r="G79" s="183">
        <v>0</v>
      </c>
      <c r="H79" s="206">
        <f t="shared" si="43"/>
        <v>39109.228397813065</v>
      </c>
      <c r="I79" s="166">
        <v>2012</v>
      </c>
      <c r="J79" s="166"/>
      <c r="K79" s="177">
        <f>poolhumidificationlife</f>
        <v>15</v>
      </c>
      <c r="L79" s="169" t="s">
        <v>444</v>
      </c>
      <c r="M79" s="168">
        <f t="shared" si="58"/>
        <v>0</v>
      </c>
      <c r="N79" s="168">
        <f t="shared" si="58"/>
        <v>0</v>
      </c>
      <c r="O79" s="168">
        <f t="shared" si="58"/>
        <v>0</v>
      </c>
      <c r="P79" s="168">
        <f t="shared" si="58"/>
        <v>0</v>
      </c>
      <c r="Q79" s="168">
        <f t="shared" si="58"/>
        <v>0</v>
      </c>
      <c r="R79" s="168">
        <f t="shared" si="58"/>
        <v>0</v>
      </c>
      <c r="S79" s="168">
        <f t="shared" si="58"/>
        <v>0</v>
      </c>
      <c r="T79" s="168">
        <f t="shared" si="58"/>
        <v>49758</v>
      </c>
      <c r="U79" s="168">
        <f t="shared" si="58"/>
        <v>0</v>
      </c>
      <c r="V79" s="168">
        <f t="shared" si="58"/>
        <v>0</v>
      </c>
      <c r="W79" s="168">
        <f t="shared" si="59"/>
        <v>0</v>
      </c>
      <c r="X79" s="168">
        <f t="shared" si="59"/>
        <v>0</v>
      </c>
      <c r="Y79" s="168">
        <f t="shared" si="59"/>
        <v>0</v>
      </c>
      <c r="Z79" s="168">
        <f t="shared" si="59"/>
        <v>0</v>
      </c>
      <c r="AA79" s="168">
        <f t="shared" si="59"/>
        <v>0</v>
      </c>
      <c r="AB79" s="168">
        <f t="shared" si="59"/>
        <v>0</v>
      </c>
      <c r="AC79" s="168">
        <f t="shared" si="59"/>
        <v>0</v>
      </c>
      <c r="AD79" s="168">
        <f t="shared" si="59"/>
        <v>0</v>
      </c>
      <c r="AE79" s="168">
        <f t="shared" si="59"/>
        <v>0</v>
      </c>
      <c r="AF79" s="168">
        <f t="shared" si="59"/>
        <v>0</v>
      </c>
      <c r="AG79" s="168">
        <f t="shared" si="60"/>
        <v>0</v>
      </c>
      <c r="AH79" s="168">
        <f t="shared" si="60"/>
        <v>0</v>
      </c>
      <c r="AI79" s="168">
        <f t="shared" si="60"/>
        <v>83362</v>
      </c>
      <c r="AJ79" s="168">
        <f t="shared" si="60"/>
        <v>0</v>
      </c>
      <c r="AK79" s="168">
        <f t="shared" si="60"/>
        <v>0</v>
      </c>
      <c r="AL79" s="168">
        <f t="shared" si="60"/>
        <v>0</v>
      </c>
      <c r="AM79" s="168">
        <f t="shared" si="60"/>
        <v>0</v>
      </c>
      <c r="AN79" s="168">
        <f t="shared" si="60"/>
        <v>0</v>
      </c>
      <c r="AO79" s="168">
        <f t="shared" si="60"/>
        <v>0</v>
      </c>
      <c r="AP79" s="168">
        <f t="shared" si="60"/>
        <v>0</v>
      </c>
      <c r="AQ79" s="170"/>
      <c r="AR79" s="171">
        <f t="shared" si="44"/>
        <v>133120.0001</v>
      </c>
      <c r="AT79" s="166">
        <f t="shared" si="45"/>
        <v>2012</v>
      </c>
      <c r="AU79" s="166">
        <f t="shared" si="46"/>
        <v>0</v>
      </c>
      <c r="AV79" s="166">
        <v>100</v>
      </c>
      <c r="AW79" s="241">
        <f t="shared" si="47"/>
        <v>0</v>
      </c>
      <c r="AX79" s="166">
        <f t="shared" si="48"/>
        <v>0</v>
      </c>
      <c r="AY79" s="166">
        <f t="shared" si="49"/>
        <v>1</v>
      </c>
      <c r="AZ79" s="242">
        <f t="shared" si="50"/>
        <v>0</v>
      </c>
      <c r="BA79" s="234">
        <f t="shared" si="54"/>
        <v>1</v>
      </c>
      <c r="BB79" s="235">
        <f t="shared" si="55"/>
        <v>0</v>
      </c>
      <c r="BC79" s="235">
        <f t="shared" si="56"/>
        <v>0</v>
      </c>
      <c r="BD79" s="236">
        <f t="shared" si="57"/>
        <v>0</v>
      </c>
    </row>
    <row r="80" spans="1:56" s="163" customFormat="1" ht="16.25" customHeight="1">
      <c r="A80" s="163" t="s">
        <v>234</v>
      </c>
      <c r="B80" s="163" t="s">
        <v>288</v>
      </c>
      <c r="C80" s="164" t="s">
        <v>348</v>
      </c>
      <c r="D80" s="165">
        <v>1</v>
      </c>
      <c r="E80" s="177">
        <f>Poolliftcostyear</f>
        <v>2019</v>
      </c>
      <c r="F80" s="203">
        <f>Poolliftunitcost*D80</f>
        <v>5000</v>
      </c>
      <c r="G80" s="167">
        <v>0</v>
      </c>
      <c r="H80" s="206">
        <f t="shared" si="43"/>
        <v>5175</v>
      </c>
      <c r="I80" s="166">
        <v>2013</v>
      </c>
      <c r="J80" s="166">
        <v>5</v>
      </c>
      <c r="K80" s="177">
        <f>Poolliftlife</f>
        <v>10</v>
      </c>
      <c r="L80" s="169" t="s">
        <v>444</v>
      </c>
      <c r="M80" s="168">
        <f t="shared" si="58"/>
        <v>0</v>
      </c>
      <c r="N80" s="168">
        <f t="shared" si="58"/>
        <v>0</v>
      </c>
      <c r="O80" s="168">
        <f t="shared" si="58"/>
        <v>0</v>
      </c>
      <c r="P80" s="168">
        <f t="shared" si="58"/>
        <v>0</v>
      </c>
      <c r="Q80" s="168">
        <f t="shared" si="58"/>
        <v>0</v>
      </c>
      <c r="R80" s="168">
        <f t="shared" si="58"/>
        <v>0</v>
      </c>
      <c r="S80" s="168">
        <f t="shared" si="58"/>
        <v>0</v>
      </c>
      <c r="T80" s="168">
        <f t="shared" si="58"/>
        <v>0</v>
      </c>
      <c r="U80" s="168">
        <f t="shared" si="58"/>
        <v>6814</v>
      </c>
      <c r="V80" s="168">
        <f t="shared" si="58"/>
        <v>0</v>
      </c>
      <c r="W80" s="168">
        <f t="shared" si="59"/>
        <v>0</v>
      </c>
      <c r="X80" s="168">
        <f t="shared" si="59"/>
        <v>0</v>
      </c>
      <c r="Y80" s="168">
        <f t="shared" si="59"/>
        <v>0</v>
      </c>
      <c r="Z80" s="168">
        <f t="shared" si="59"/>
        <v>0</v>
      </c>
      <c r="AA80" s="168">
        <f t="shared" si="59"/>
        <v>0</v>
      </c>
      <c r="AB80" s="168">
        <f t="shared" si="59"/>
        <v>0</v>
      </c>
      <c r="AC80" s="168">
        <f t="shared" si="59"/>
        <v>0</v>
      </c>
      <c r="AD80" s="168">
        <f t="shared" si="59"/>
        <v>0</v>
      </c>
      <c r="AE80" s="168">
        <f t="shared" si="59"/>
        <v>9613</v>
      </c>
      <c r="AF80" s="168">
        <f t="shared" si="59"/>
        <v>0</v>
      </c>
      <c r="AG80" s="168">
        <f t="shared" si="60"/>
        <v>0</v>
      </c>
      <c r="AH80" s="168">
        <f t="shared" si="60"/>
        <v>0</v>
      </c>
      <c r="AI80" s="168">
        <f t="shared" si="60"/>
        <v>0</v>
      </c>
      <c r="AJ80" s="168">
        <f t="shared" si="60"/>
        <v>0</v>
      </c>
      <c r="AK80" s="168">
        <f t="shared" si="60"/>
        <v>0</v>
      </c>
      <c r="AL80" s="168">
        <f t="shared" si="60"/>
        <v>0</v>
      </c>
      <c r="AM80" s="168">
        <f t="shared" si="60"/>
        <v>0</v>
      </c>
      <c r="AN80" s="168">
        <f t="shared" si="60"/>
        <v>0</v>
      </c>
      <c r="AO80" s="168">
        <f t="shared" si="60"/>
        <v>13559</v>
      </c>
      <c r="AP80" s="168">
        <f t="shared" si="60"/>
        <v>0</v>
      </c>
      <c r="AQ80" s="170"/>
      <c r="AR80" s="171">
        <f t="shared" si="44"/>
        <v>29986.000100000001</v>
      </c>
      <c r="AT80" s="166">
        <f t="shared" si="45"/>
        <v>2013</v>
      </c>
      <c r="AU80" s="166">
        <f t="shared" si="46"/>
        <v>5</v>
      </c>
      <c r="AV80" s="166">
        <v>100</v>
      </c>
      <c r="AW80" s="241">
        <f t="shared" si="47"/>
        <v>0</v>
      </c>
      <c r="AX80" s="166">
        <f t="shared" si="48"/>
        <v>0</v>
      </c>
      <c r="AY80" s="166">
        <f t="shared" si="49"/>
        <v>1</v>
      </c>
      <c r="AZ80" s="242">
        <f t="shared" si="50"/>
        <v>0</v>
      </c>
      <c r="BA80" s="234">
        <f t="shared" si="54"/>
        <v>1</v>
      </c>
      <c r="BB80" s="235">
        <f t="shared" si="55"/>
        <v>0</v>
      </c>
      <c r="BC80" s="235">
        <f t="shared" si="56"/>
        <v>0</v>
      </c>
      <c r="BD80" s="236">
        <f t="shared" si="57"/>
        <v>0</v>
      </c>
    </row>
    <row r="81" spans="1:56" s="163" customFormat="1" ht="16.25" customHeight="1">
      <c r="A81" s="163" t="s">
        <v>234</v>
      </c>
      <c r="B81" s="163" t="s">
        <v>288</v>
      </c>
      <c r="C81" s="180" t="s">
        <v>242</v>
      </c>
      <c r="D81" s="165">
        <v>1</v>
      </c>
      <c r="E81" s="200">
        <f>poolvariablespeedmotorscostyear</f>
        <v>2012</v>
      </c>
      <c r="F81" s="204">
        <f>D81*poolvariablespeedmotorsunitcost</f>
        <v>8000</v>
      </c>
      <c r="G81" s="181">
        <v>0</v>
      </c>
      <c r="H81" s="206">
        <f t="shared" si="43"/>
        <v>10534.472295707223</v>
      </c>
      <c r="I81" s="166">
        <v>2012</v>
      </c>
      <c r="J81" s="166">
        <v>2</v>
      </c>
      <c r="K81" s="177">
        <f>poolvariablespeedmotorslife</f>
        <v>5</v>
      </c>
      <c r="L81" s="169" t="s">
        <v>444</v>
      </c>
      <c r="M81" s="168">
        <f t="shared" si="58"/>
        <v>0</v>
      </c>
      <c r="N81" s="168">
        <f t="shared" si="58"/>
        <v>0</v>
      </c>
      <c r="O81" s="168">
        <f t="shared" si="58"/>
        <v>0</v>
      </c>
      <c r="P81" s="168">
        <f t="shared" si="58"/>
        <v>0</v>
      </c>
      <c r="Q81" s="168">
        <f t="shared" si="58"/>
        <v>12089</v>
      </c>
      <c r="R81" s="168">
        <f t="shared" si="58"/>
        <v>0</v>
      </c>
      <c r="S81" s="168">
        <f t="shared" si="58"/>
        <v>0</v>
      </c>
      <c r="T81" s="168">
        <f t="shared" si="58"/>
        <v>0</v>
      </c>
      <c r="U81" s="168">
        <f t="shared" si="58"/>
        <v>0</v>
      </c>
      <c r="V81" s="168">
        <f t="shared" si="58"/>
        <v>14357</v>
      </c>
      <c r="W81" s="168">
        <f t="shared" si="59"/>
        <v>0</v>
      </c>
      <c r="X81" s="168">
        <f t="shared" si="59"/>
        <v>0</v>
      </c>
      <c r="Y81" s="168">
        <f t="shared" si="59"/>
        <v>0</v>
      </c>
      <c r="Z81" s="168">
        <f t="shared" si="59"/>
        <v>0</v>
      </c>
      <c r="AA81" s="168">
        <f t="shared" si="59"/>
        <v>17052</v>
      </c>
      <c r="AB81" s="168">
        <f t="shared" si="59"/>
        <v>0</v>
      </c>
      <c r="AC81" s="168">
        <f t="shared" si="59"/>
        <v>0</v>
      </c>
      <c r="AD81" s="168">
        <f t="shared" si="59"/>
        <v>0</v>
      </c>
      <c r="AE81" s="168">
        <f t="shared" si="59"/>
        <v>0</v>
      </c>
      <c r="AF81" s="168">
        <f t="shared" si="59"/>
        <v>20253</v>
      </c>
      <c r="AG81" s="168">
        <f t="shared" si="60"/>
        <v>0</v>
      </c>
      <c r="AH81" s="168">
        <f t="shared" si="60"/>
        <v>0</v>
      </c>
      <c r="AI81" s="168">
        <f t="shared" si="60"/>
        <v>0</v>
      </c>
      <c r="AJ81" s="168">
        <f t="shared" si="60"/>
        <v>0</v>
      </c>
      <c r="AK81" s="168">
        <f t="shared" si="60"/>
        <v>24054</v>
      </c>
      <c r="AL81" s="168">
        <f t="shared" si="60"/>
        <v>0</v>
      </c>
      <c r="AM81" s="168">
        <f t="shared" si="60"/>
        <v>0</v>
      </c>
      <c r="AN81" s="168">
        <f t="shared" si="60"/>
        <v>0</v>
      </c>
      <c r="AO81" s="168">
        <f t="shared" si="60"/>
        <v>0</v>
      </c>
      <c r="AP81" s="168">
        <f t="shared" si="60"/>
        <v>28568</v>
      </c>
      <c r="AQ81" s="170"/>
      <c r="AR81" s="171">
        <f t="shared" si="44"/>
        <v>116373.0001</v>
      </c>
      <c r="AT81" s="166">
        <f t="shared" si="45"/>
        <v>2012</v>
      </c>
      <c r="AU81" s="166">
        <f t="shared" si="46"/>
        <v>2</v>
      </c>
      <c r="AV81" s="166">
        <v>100</v>
      </c>
      <c r="AW81" s="241">
        <f t="shared" si="47"/>
        <v>0</v>
      </c>
      <c r="AX81" s="166">
        <f t="shared" si="48"/>
        <v>0</v>
      </c>
      <c r="AY81" s="166">
        <f t="shared" si="49"/>
        <v>1</v>
      </c>
      <c r="AZ81" s="242">
        <f t="shared" si="50"/>
        <v>0</v>
      </c>
      <c r="BA81" s="234">
        <f t="shared" si="54"/>
        <v>1</v>
      </c>
      <c r="BB81" s="235">
        <f t="shared" si="55"/>
        <v>0</v>
      </c>
      <c r="BC81" s="235">
        <f t="shared" si="56"/>
        <v>0</v>
      </c>
      <c r="BD81" s="236">
        <f t="shared" si="57"/>
        <v>0</v>
      </c>
    </row>
    <row r="82" spans="1:56" s="163" customFormat="1" ht="16.25" customHeight="1">
      <c r="A82" s="163" t="s">
        <v>234</v>
      </c>
      <c r="B82" s="163" t="s">
        <v>288</v>
      </c>
      <c r="C82" s="180" t="s">
        <v>207</v>
      </c>
      <c r="D82" s="165">
        <v>1</v>
      </c>
      <c r="E82" s="200">
        <f>Poolfiltercostyear</f>
        <v>2012</v>
      </c>
      <c r="F82" s="204">
        <f>D82*Poolfilterunitcost</f>
        <v>35000</v>
      </c>
      <c r="G82" s="181">
        <v>0</v>
      </c>
      <c r="H82" s="206">
        <f t="shared" si="43"/>
        <v>46088.316293719101</v>
      </c>
      <c r="I82" s="166">
        <v>2012</v>
      </c>
      <c r="J82" s="166">
        <v>0</v>
      </c>
      <c r="K82" s="177">
        <f>Poolfilterlife</f>
        <v>20</v>
      </c>
      <c r="L82" s="169" t="s">
        <v>444</v>
      </c>
      <c r="M82" s="168">
        <f t="shared" ref="M82:V91" si="61">ROUND($H82*IF(AND(M$1&gt;=($I82+$J82),MOD(M$1-($I82+$J82),$K82)=0),(1+InflationRate)^(M$1-AnalysisYear),0),0)*IF(AND(M$1&gt;=($AT82+$AU82),(M$1-($AT82+$AU82))&lt;&gt;0,MOD(M$1-($AT82+$AU82),$AV82)=0),0,1)</f>
        <v>0</v>
      </c>
      <c r="N82" s="168">
        <f t="shared" si="61"/>
        <v>0</v>
      </c>
      <c r="O82" s="168">
        <f t="shared" si="61"/>
        <v>0</v>
      </c>
      <c r="P82" s="168">
        <f t="shared" si="61"/>
        <v>0</v>
      </c>
      <c r="Q82" s="168">
        <f t="shared" si="61"/>
        <v>0</v>
      </c>
      <c r="R82" s="168">
        <f t="shared" si="61"/>
        <v>0</v>
      </c>
      <c r="S82" s="168">
        <f t="shared" si="61"/>
        <v>0</v>
      </c>
      <c r="T82" s="168">
        <f t="shared" si="61"/>
        <v>0</v>
      </c>
      <c r="U82" s="168">
        <f t="shared" si="61"/>
        <v>0</v>
      </c>
      <c r="V82" s="168">
        <f t="shared" si="61"/>
        <v>0</v>
      </c>
      <c r="W82" s="168">
        <f t="shared" ref="W82:AF91" si="62">ROUND($H82*IF(AND(W$1&gt;=($I82+$J82),MOD(W$1-($I82+$J82),$K82)=0),(1+InflationRate)^(W$1-AnalysisYear),0),0)*IF(AND(W$1&gt;=($AT82+$AU82),(W$1-($AT82+$AU82))&lt;&gt;0,MOD(W$1-($AT82+$AU82),$AV82)=0),0,1)</f>
        <v>0</v>
      </c>
      <c r="X82" s="168">
        <f t="shared" si="62"/>
        <v>0</v>
      </c>
      <c r="Y82" s="168">
        <f t="shared" si="62"/>
        <v>69643</v>
      </c>
      <c r="Z82" s="168">
        <f t="shared" si="62"/>
        <v>0</v>
      </c>
      <c r="AA82" s="168">
        <f t="shared" si="62"/>
        <v>0</v>
      </c>
      <c r="AB82" s="168">
        <f t="shared" si="62"/>
        <v>0</v>
      </c>
      <c r="AC82" s="168">
        <f t="shared" si="62"/>
        <v>0</v>
      </c>
      <c r="AD82" s="168">
        <f t="shared" si="62"/>
        <v>0</v>
      </c>
      <c r="AE82" s="168">
        <f t="shared" si="62"/>
        <v>0</v>
      </c>
      <c r="AF82" s="168">
        <f t="shared" si="62"/>
        <v>0</v>
      </c>
      <c r="AG82" s="168">
        <f t="shared" ref="AG82:AP91" si="63">ROUND($H82*IF(AND(AG$1&gt;=($I82+$J82),MOD(AG$1-($I82+$J82),$K82)=0),(1+InflationRate)^(AG$1-AnalysisYear),0),0)*IF(AND(AG$1&gt;=($AT82+$AU82),(AG$1-($AT82+$AU82))&lt;&gt;0,MOD(AG$1-($AT82+$AU82),$AV82)=0),0,1)</f>
        <v>0</v>
      </c>
      <c r="AH82" s="168">
        <f t="shared" si="63"/>
        <v>0</v>
      </c>
      <c r="AI82" s="168">
        <f t="shared" si="63"/>
        <v>0</v>
      </c>
      <c r="AJ82" s="168">
        <f t="shared" si="63"/>
        <v>0</v>
      </c>
      <c r="AK82" s="168">
        <f t="shared" si="63"/>
        <v>0</v>
      </c>
      <c r="AL82" s="168">
        <f t="shared" si="63"/>
        <v>0</v>
      </c>
      <c r="AM82" s="168">
        <f t="shared" si="63"/>
        <v>0</v>
      </c>
      <c r="AN82" s="168">
        <f t="shared" si="63"/>
        <v>0</v>
      </c>
      <c r="AO82" s="168">
        <f t="shared" si="63"/>
        <v>0</v>
      </c>
      <c r="AP82" s="168">
        <f t="shared" si="63"/>
        <v>0</v>
      </c>
      <c r="AQ82" s="170"/>
      <c r="AR82" s="171">
        <f t="shared" si="44"/>
        <v>69643.000100000005</v>
      </c>
      <c r="AT82" s="166">
        <f t="shared" si="45"/>
        <v>2012</v>
      </c>
      <c r="AU82" s="166">
        <f t="shared" si="46"/>
        <v>0</v>
      </c>
      <c r="AV82" s="166">
        <v>100</v>
      </c>
      <c r="AW82" s="241">
        <f t="shared" si="47"/>
        <v>0</v>
      </c>
      <c r="AX82" s="166">
        <f t="shared" si="48"/>
        <v>0</v>
      </c>
      <c r="AY82" s="166">
        <f t="shared" si="49"/>
        <v>1</v>
      </c>
      <c r="AZ82" s="242">
        <f t="shared" si="50"/>
        <v>0</v>
      </c>
      <c r="BA82" s="234">
        <f t="shared" si="54"/>
        <v>1</v>
      </c>
      <c r="BB82" s="235">
        <f t="shared" si="55"/>
        <v>0</v>
      </c>
      <c r="BC82" s="235">
        <f t="shared" si="56"/>
        <v>0</v>
      </c>
      <c r="BD82" s="236">
        <f t="shared" si="57"/>
        <v>0</v>
      </c>
    </row>
    <row r="83" spans="1:56" s="163" customFormat="1" ht="16.25" customHeight="1">
      <c r="A83" s="163" t="s">
        <v>234</v>
      </c>
      <c r="B83" s="163" t="s">
        <v>288</v>
      </c>
      <c r="C83" s="164" t="s">
        <v>21</v>
      </c>
      <c r="D83" s="165">
        <v>1</v>
      </c>
      <c r="E83" s="177">
        <f>pooloutdoorplastercostyear</f>
        <v>2019</v>
      </c>
      <c r="F83" s="203">
        <f>D83*pooloutdoorplasterunitcost</f>
        <v>54135</v>
      </c>
      <c r="G83" s="167">
        <v>0</v>
      </c>
      <c r="H83" s="206">
        <f t="shared" si="43"/>
        <v>56029.724999999999</v>
      </c>
      <c r="I83" s="166">
        <v>2013</v>
      </c>
      <c r="J83" s="166">
        <v>0</v>
      </c>
      <c r="K83" s="177">
        <f>pooloutdoorplasterlife</f>
        <v>15</v>
      </c>
      <c r="L83" s="169" t="s">
        <v>444</v>
      </c>
      <c r="M83" s="168">
        <f t="shared" si="61"/>
        <v>0</v>
      </c>
      <c r="N83" s="168">
        <f t="shared" si="61"/>
        <v>0</v>
      </c>
      <c r="O83" s="168">
        <f t="shared" si="61"/>
        <v>0</v>
      </c>
      <c r="P83" s="168">
        <f t="shared" si="61"/>
        <v>0</v>
      </c>
      <c r="Q83" s="168">
        <f t="shared" si="61"/>
        <v>0</v>
      </c>
      <c r="R83" s="168">
        <f t="shared" si="61"/>
        <v>0</v>
      </c>
      <c r="S83" s="168">
        <f t="shared" si="61"/>
        <v>0</v>
      </c>
      <c r="T83" s="168">
        <f t="shared" si="61"/>
        <v>0</v>
      </c>
      <c r="U83" s="168">
        <f t="shared" si="61"/>
        <v>73780</v>
      </c>
      <c r="V83" s="168">
        <f t="shared" si="61"/>
        <v>0</v>
      </c>
      <c r="W83" s="168">
        <f t="shared" si="62"/>
        <v>0</v>
      </c>
      <c r="X83" s="168">
        <f t="shared" si="62"/>
        <v>0</v>
      </c>
      <c r="Y83" s="168">
        <f t="shared" si="62"/>
        <v>0</v>
      </c>
      <c r="Z83" s="168">
        <f t="shared" si="62"/>
        <v>0</v>
      </c>
      <c r="AA83" s="168">
        <f t="shared" si="62"/>
        <v>0</v>
      </c>
      <c r="AB83" s="168">
        <f t="shared" si="62"/>
        <v>0</v>
      </c>
      <c r="AC83" s="168">
        <f t="shared" si="62"/>
        <v>0</v>
      </c>
      <c r="AD83" s="168">
        <f t="shared" si="62"/>
        <v>0</v>
      </c>
      <c r="AE83" s="168">
        <f t="shared" si="62"/>
        <v>0</v>
      </c>
      <c r="AF83" s="168">
        <f t="shared" si="62"/>
        <v>0</v>
      </c>
      <c r="AG83" s="168">
        <f t="shared" si="63"/>
        <v>0</v>
      </c>
      <c r="AH83" s="168">
        <f t="shared" si="63"/>
        <v>0</v>
      </c>
      <c r="AI83" s="168">
        <f t="shared" si="63"/>
        <v>0</v>
      </c>
      <c r="AJ83" s="168">
        <f t="shared" si="63"/>
        <v>123608</v>
      </c>
      <c r="AK83" s="168">
        <f t="shared" si="63"/>
        <v>0</v>
      </c>
      <c r="AL83" s="168">
        <f t="shared" si="63"/>
        <v>0</v>
      </c>
      <c r="AM83" s="168">
        <f t="shared" si="63"/>
        <v>0</v>
      </c>
      <c r="AN83" s="168">
        <f t="shared" si="63"/>
        <v>0</v>
      </c>
      <c r="AO83" s="168">
        <f t="shared" si="63"/>
        <v>0</v>
      </c>
      <c r="AP83" s="168">
        <f t="shared" si="63"/>
        <v>0</v>
      </c>
      <c r="AQ83" s="170"/>
      <c r="AR83" s="171">
        <f t="shared" si="44"/>
        <v>197388.0001</v>
      </c>
      <c r="AT83" s="166">
        <f t="shared" si="45"/>
        <v>2013</v>
      </c>
      <c r="AU83" s="166">
        <f t="shared" si="46"/>
        <v>0</v>
      </c>
      <c r="AV83" s="166">
        <v>100</v>
      </c>
      <c r="AW83" s="241">
        <f t="shared" si="47"/>
        <v>0</v>
      </c>
      <c r="AX83" s="166">
        <f t="shared" si="48"/>
        <v>0</v>
      </c>
      <c r="AY83" s="166">
        <f t="shared" si="49"/>
        <v>1</v>
      </c>
      <c r="AZ83" s="242">
        <f t="shared" si="50"/>
        <v>0</v>
      </c>
      <c r="BA83" s="234">
        <f t="shared" si="54"/>
        <v>1</v>
      </c>
      <c r="BB83" s="235">
        <f t="shared" si="55"/>
        <v>0</v>
      </c>
      <c r="BC83" s="235">
        <f t="shared" si="56"/>
        <v>0</v>
      </c>
      <c r="BD83" s="236">
        <f t="shared" si="57"/>
        <v>0</v>
      </c>
    </row>
    <row r="84" spans="1:56" s="163" customFormat="1" ht="16.25" customHeight="1">
      <c r="A84" s="163" t="s">
        <v>234</v>
      </c>
      <c r="B84" s="163" t="s">
        <v>289</v>
      </c>
      <c r="C84" s="164" t="s">
        <v>326</v>
      </c>
      <c r="D84" s="179">
        <v>155</v>
      </c>
      <c r="E84" s="177">
        <f>clubcarpeting5yearcostyear</f>
        <v>2018</v>
      </c>
      <c r="F84" s="203">
        <f>D84*clubcarpeting5yearunitcost</f>
        <v>10075</v>
      </c>
      <c r="G84" s="167">
        <v>0</v>
      </c>
      <c r="H84" s="206">
        <f t="shared" si="43"/>
        <v>10792.591874999998</v>
      </c>
      <c r="I84" s="166">
        <v>2012</v>
      </c>
      <c r="J84" s="166">
        <v>3</v>
      </c>
      <c r="K84" s="177">
        <f>clubcarpeting5yearlife</f>
        <v>5</v>
      </c>
      <c r="L84" s="169" t="s">
        <v>444</v>
      </c>
      <c r="M84" s="168">
        <f t="shared" si="61"/>
        <v>10793</v>
      </c>
      <c r="N84" s="168">
        <f t="shared" si="61"/>
        <v>0</v>
      </c>
      <c r="O84" s="168">
        <f t="shared" si="61"/>
        <v>0</v>
      </c>
      <c r="P84" s="168">
        <f t="shared" si="61"/>
        <v>0</v>
      </c>
      <c r="Q84" s="168">
        <f t="shared" si="61"/>
        <v>0</v>
      </c>
      <c r="R84" s="168">
        <f t="shared" si="61"/>
        <v>12818</v>
      </c>
      <c r="S84" s="168">
        <f t="shared" si="61"/>
        <v>0</v>
      </c>
      <c r="T84" s="168">
        <f t="shared" si="61"/>
        <v>0</v>
      </c>
      <c r="U84" s="168">
        <f t="shared" si="61"/>
        <v>0</v>
      </c>
      <c r="V84" s="168">
        <f t="shared" si="61"/>
        <v>0</v>
      </c>
      <c r="W84" s="168">
        <f t="shared" si="62"/>
        <v>15224</v>
      </c>
      <c r="X84" s="168">
        <f t="shared" si="62"/>
        <v>0</v>
      </c>
      <c r="Y84" s="168">
        <f t="shared" si="62"/>
        <v>0</v>
      </c>
      <c r="Z84" s="168">
        <f t="shared" si="62"/>
        <v>0</v>
      </c>
      <c r="AA84" s="168">
        <f t="shared" si="62"/>
        <v>0</v>
      </c>
      <c r="AB84" s="168">
        <f t="shared" si="62"/>
        <v>18081</v>
      </c>
      <c r="AC84" s="168">
        <f t="shared" si="62"/>
        <v>0</v>
      </c>
      <c r="AD84" s="168">
        <f t="shared" si="62"/>
        <v>0</v>
      </c>
      <c r="AE84" s="168">
        <f t="shared" si="62"/>
        <v>0</v>
      </c>
      <c r="AF84" s="168">
        <f t="shared" si="62"/>
        <v>0</v>
      </c>
      <c r="AG84" s="168">
        <f t="shared" si="63"/>
        <v>21475</v>
      </c>
      <c r="AH84" s="168">
        <f t="shared" si="63"/>
        <v>0</v>
      </c>
      <c r="AI84" s="168">
        <f t="shared" si="63"/>
        <v>0</v>
      </c>
      <c r="AJ84" s="168">
        <f t="shared" si="63"/>
        <v>0</v>
      </c>
      <c r="AK84" s="168">
        <f t="shared" si="63"/>
        <v>0</v>
      </c>
      <c r="AL84" s="168">
        <f t="shared" si="63"/>
        <v>25506</v>
      </c>
      <c r="AM84" s="168">
        <f t="shared" si="63"/>
        <v>0</v>
      </c>
      <c r="AN84" s="168">
        <f t="shared" si="63"/>
        <v>0</v>
      </c>
      <c r="AO84" s="168">
        <f t="shared" si="63"/>
        <v>0</v>
      </c>
      <c r="AP84" s="168">
        <f t="shared" si="63"/>
        <v>0</v>
      </c>
      <c r="AQ84" s="170"/>
      <c r="AR84" s="171">
        <f t="shared" si="44"/>
        <v>103897.0001</v>
      </c>
      <c r="AT84" s="166">
        <f t="shared" si="45"/>
        <v>2012</v>
      </c>
      <c r="AU84" s="166">
        <f t="shared" si="46"/>
        <v>3</v>
      </c>
      <c r="AV84" s="166">
        <v>100</v>
      </c>
      <c r="AW84" s="241">
        <f t="shared" si="47"/>
        <v>0</v>
      </c>
      <c r="AX84" s="166">
        <f t="shared" si="48"/>
        <v>0</v>
      </c>
      <c r="AY84" s="166">
        <f t="shared" si="49"/>
        <v>1</v>
      </c>
      <c r="AZ84" s="242">
        <f t="shared" si="50"/>
        <v>0</v>
      </c>
      <c r="BA84" s="234">
        <f t="shared" si="54"/>
        <v>0</v>
      </c>
      <c r="BB84" s="235">
        <f t="shared" si="55"/>
        <v>1</v>
      </c>
      <c r="BC84" s="235">
        <f t="shared" si="56"/>
        <v>0</v>
      </c>
      <c r="BD84" s="236">
        <f t="shared" si="57"/>
        <v>0</v>
      </c>
    </row>
    <row r="85" spans="1:56" s="163" customFormat="1" ht="16.25" customHeight="1">
      <c r="A85" s="163" t="s">
        <v>234</v>
      </c>
      <c r="B85" s="163" t="s">
        <v>289</v>
      </c>
      <c r="C85" s="180" t="s">
        <v>318</v>
      </c>
      <c r="D85" s="165">
        <v>100</v>
      </c>
      <c r="E85" s="200">
        <f>auditoriumchairscostyear</f>
        <v>2019</v>
      </c>
      <c r="F85" s="204">
        <f>D85*auditoriumchairsunitcost</f>
        <v>5900</v>
      </c>
      <c r="G85" s="181">
        <v>0</v>
      </c>
      <c r="H85" s="206">
        <f t="shared" si="43"/>
        <v>6106.4999999999991</v>
      </c>
      <c r="I85" s="166">
        <v>2012</v>
      </c>
      <c r="J85" s="184"/>
      <c r="K85" s="207">
        <f>auditoriumchairslife</f>
        <v>10</v>
      </c>
      <c r="L85" s="169" t="s">
        <v>444</v>
      </c>
      <c r="M85" s="168">
        <f t="shared" si="61"/>
        <v>0</v>
      </c>
      <c r="N85" s="168">
        <f t="shared" si="61"/>
        <v>0</v>
      </c>
      <c r="O85" s="168">
        <f t="shared" si="61"/>
        <v>6541</v>
      </c>
      <c r="P85" s="168">
        <f t="shared" si="61"/>
        <v>0</v>
      </c>
      <c r="Q85" s="168">
        <f t="shared" si="61"/>
        <v>0</v>
      </c>
      <c r="R85" s="168">
        <f t="shared" si="61"/>
        <v>0</v>
      </c>
      <c r="S85" s="168">
        <f t="shared" si="61"/>
        <v>0</v>
      </c>
      <c r="T85" s="168">
        <f t="shared" si="61"/>
        <v>0</v>
      </c>
      <c r="U85" s="168">
        <f t="shared" si="61"/>
        <v>0</v>
      </c>
      <c r="V85" s="168">
        <f t="shared" si="61"/>
        <v>0</v>
      </c>
      <c r="W85" s="168">
        <f t="shared" si="62"/>
        <v>0</v>
      </c>
      <c r="X85" s="168">
        <f t="shared" si="62"/>
        <v>0</v>
      </c>
      <c r="Y85" s="168">
        <f t="shared" si="62"/>
        <v>9227</v>
      </c>
      <c r="Z85" s="168">
        <f t="shared" si="62"/>
        <v>0</v>
      </c>
      <c r="AA85" s="168">
        <f t="shared" si="62"/>
        <v>0</v>
      </c>
      <c r="AB85" s="168">
        <f t="shared" si="62"/>
        <v>0</v>
      </c>
      <c r="AC85" s="168">
        <f t="shared" si="62"/>
        <v>0</v>
      </c>
      <c r="AD85" s="168">
        <f t="shared" si="62"/>
        <v>0</v>
      </c>
      <c r="AE85" s="168">
        <f t="shared" si="62"/>
        <v>0</v>
      </c>
      <c r="AF85" s="168">
        <f t="shared" si="62"/>
        <v>0</v>
      </c>
      <c r="AG85" s="168">
        <f t="shared" si="63"/>
        <v>0</v>
      </c>
      <c r="AH85" s="168">
        <f t="shared" si="63"/>
        <v>0</v>
      </c>
      <c r="AI85" s="168">
        <f t="shared" si="63"/>
        <v>13016</v>
      </c>
      <c r="AJ85" s="168">
        <f t="shared" si="63"/>
        <v>0</v>
      </c>
      <c r="AK85" s="168">
        <f t="shared" si="63"/>
        <v>0</v>
      </c>
      <c r="AL85" s="168">
        <f t="shared" si="63"/>
        <v>0</v>
      </c>
      <c r="AM85" s="168">
        <f t="shared" si="63"/>
        <v>0</v>
      </c>
      <c r="AN85" s="168">
        <f t="shared" si="63"/>
        <v>0</v>
      </c>
      <c r="AO85" s="168">
        <f t="shared" si="63"/>
        <v>0</v>
      </c>
      <c r="AP85" s="168">
        <f t="shared" si="63"/>
        <v>0</v>
      </c>
      <c r="AQ85" s="170"/>
      <c r="AR85" s="171">
        <f t="shared" si="44"/>
        <v>28784.000100000001</v>
      </c>
      <c r="AT85" s="166">
        <f t="shared" si="45"/>
        <v>2012</v>
      </c>
      <c r="AU85" s="166">
        <f t="shared" si="46"/>
        <v>0</v>
      </c>
      <c r="AV85" s="166">
        <v>100</v>
      </c>
      <c r="AW85" s="241">
        <f t="shared" si="47"/>
        <v>0</v>
      </c>
      <c r="AX85" s="166">
        <f t="shared" si="48"/>
        <v>0</v>
      </c>
      <c r="AY85" s="166">
        <f t="shared" si="49"/>
        <v>1</v>
      </c>
      <c r="AZ85" s="242">
        <f t="shared" si="50"/>
        <v>0</v>
      </c>
      <c r="BA85" s="234">
        <f t="shared" si="54"/>
        <v>0</v>
      </c>
      <c r="BB85" s="235">
        <f t="shared" si="55"/>
        <v>1</v>
      </c>
      <c r="BC85" s="235">
        <f t="shared" si="56"/>
        <v>0</v>
      </c>
      <c r="BD85" s="236">
        <f t="shared" si="57"/>
        <v>0</v>
      </c>
    </row>
    <row r="86" spans="1:56" s="163" customFormat="1" ht="16.25" customHeight="1">
      <c r="A86" s="163" t="s">
        <v>234</v>
      </c>
      <c r="B86" s="163" t="s">
        <v>289</v>
      </c>
      <c r="C86" s="164" t="s">
        <v>319</v>
      </c>
      <c r="D86" s="166">
        <v>1</v>
      </c>
      <c r="E86" s="177">
        <f>chefservingtablecostyear</f>
        <v>2019</v>
      </c>
      <c r="F86" s="203">
        <f>D86*cheftableunitcost</f>
        <v>45000</v>
      </c>
      <c r="G86" s="167">
        <v>45240</v>
      </c>
      <c r="H86" s="206">
        <f t="shared" si="43"/>
        <v>46575</v>
      </c>
      <c r="I86" s="166">
        <v>2019</v>
      </c>
      <c r="J86" s="166">
        <v>0</v>
      </c>
      <c r="K86" s="177">
        <f>cheftablelife</f>
        <v>20</v>
      </c>
      <c r="L86" s="169" t="s">
        <v>444</v>
      </c>
      <c r="M86" s="168">
        <f t="shared" si="61"/>
        <v>0</v>
      </c>
      <c r="N86" s="168">
        <f t="shared" si="61"/>
        <v>0</v>
      </c>
      <c r="O86" s="168">
        <f t="shared" si="61"/>
        <v>0</v>
      </c>
      <c r="P86" s="168">
        <f t="shared" si="61"/>
        <v>0</v>
      </c>
      <c r="Q86" s="168">
        <f t="shared" si="61"/>
        <v>0</v>
      </c>
      <c r="R86" s="168">
        <f t="shared" si="61"/>
        <v>0</v>
      </c>
      <c r="S86" s="168">
        <f t="shared" si="61"/>
        <v>0</v>
      </c>
      <c r="T86" s="168">
        <f t="shared" si="61"/>
        <v>0</v>
      </c>
      <c r="U86" s="168">
        <f t="shared" si="61"/>
        <v>0</v>
      </c>
      <c r="V86" s="168">
        <f t="shared" si="61"/>
        <v>0</v>
      </c>
      <c r="W86" s="168">
        <f t="shared" si="62"/>
        <v>0</v>
      </c>
      <c r="X86" s="168">
        <f t="shared" si="62"/>
        <v>0</v>
      </c>
      <c r="Y86" s="168">
        <f t="shared" si="62"/>
        <v>0</v>
      </c>
      <c r="Z86" s="168">
        <f t="shared" si="62"/>
        <v>0</v>
      </c>
      <c r="AA86" s="168">
        <f t="shared" si="62"/>
        <v>0</v>
      </c>
      <c r="AB86" s="168">
        <f t="shared" si="62"/>
        <v>0</v>
      </c>
      <c r="AC86" s="168">
        <f t="shared" si="62"/>
        <v>0</v>
      </c>
      <c r="AD86" s="168">
        <f t="shared" si="62"/>
        <v>0</v>
      </c>
      <c r="AE86" s="168">
        <f t="shared" si="62"/>
        <v>0</v>
      </c>
      <c r="AF86" s="168">
        <f t="shared" si="62"/>
        <v>89540</v>
      </c>
      <c r="AG86" s="168">
        <f t="shared" si="63"/>
        <v>0</v>
      </c>
      <c r="AH86" s="168">
        <f t="shared" si="63"/>
        <v>0</v>
      </c>
      <c r="AI86" s="168">
        <f t="shared" si="63"/>
        <v>0</v>
      </c>
      <c r="AJ86" s="168">
        <f t="shared" si="63"/>
        <v>0</v>
      </c>
      <c r="AK86" s="168">
        <f t="shared" si="63"/>
        <v>0</v>
      </c>
      <c r="AL86" s="168">
        <f t="shared" si="63"/>
        <v>0</v>
      </c>
      <c r="AM86" s="168">
        <f t="shared" si="63"/>
        <v>0</v>
      </c>
      <c r="AN86" s="168">
        <f t="shared" si="63"/>
        <v>0</v>
      </c>
      <c r="AO86" s="168">
        <f t="shared" si="63"/>
        <v>0</v>
      </c>
      <c r="AP86" s="168">
        <f t="shared" si="63"/>
        <v>0</v>
      </c>
      <c r="AQ86" s="170"/>
      <c r="AR86" s="171">
        <f t="shared" si="44"/>
        <v>89540.000100000005</v>
      </c>
      <c r="AT86" s="166">
        <f t="shared" si="45"/>
        <v>2019</v>
      </c>
      <c r="AU86" s="166">
        <f t="shared" si="46"/>
        <v>0</v>
      </c>
      <c r="AV86" s="166">
        <v>100</v>
      </c>
      <c r="AW86" s="241">
        <f t="shared" si="47"/>
        <v>0</v>
      </c>
      <c r="AX86" s="166">
        <f t="shared" si="48"/>
        <v>0</v>
      </c>
      <c r="AY86" s="166">
        <f t="shared" si="49"/>
        <v>1</v>
      </c>
      <c r="AZ86" s="242">
        <f t="shared" si="50"/>
        <v>0</v>
      </c>
      <c r="BA86" s="234">
        <f t="shared" si="54"/>
        <v>0</v>
      </c>
      <c r="BB86" s="235">
        <f t="shared" si="55"/>
        <v>1</v>
      </c>
      <c r="BC86" s="235">
        <f t="shared" si="56"/>
        <v>0</v>
      </c>
      <c r="BD86" s="236">
        <f t="shared" si="57"/>
        <v>0</v>
      </c>
    </row>
    <row r="87" spans="1:56" s="163" customFormat="1" ht="16.25" customHeight="1">
      <c r="A87" s="163" t="s">
        <v>234</v>
      </c>
      <c r="B87" s="163" t="s">
        <v>289</v>
      </c>
      <c r="C87" s="180" t="s">
        <v>343</v>
      </c>
      <c r="D87" s="165">
        <v>105</v>
      </c>
      <c r="E87" s="200">
        <f>Restaurantchairscostyear</f>
        <v>2012</v>
      </c>
      <c r="F87" s="204">
        <f>D87*restaurantchairsunitcost</f>
        <v>21000</v>
      </c>
      <c r="G87" s="181">
        <v>0</v>
      </c>
      <c r="H87" s="206">
        <f t="shared" si="43"/>
        <v>27652.989776231461</v>
      </c>
      <c r="I87" s="166">
        <v>2012</v>
      </c>
      <c r="J87" s="184"/>
      <c r="K87" s="207">
        <f>restaurantchairslife</f>
        <v>15</v>
      </c>
      <c r="L87" s="169" t="s">
        <v>444</v>
      </c>
      <c r="M87" s="168">
        <f t="shared" si="61"/>
        <v>0</v>
      </c>
      <c r="N87" s="168">
        <f t="shared" si="61"/>
        <v>0</v>
      </c>
      <c r="O87" s="168">
        <f t="shared" si="61"/>
        <v>0</v>
      </c>
      <c r="P87" s="168">
        <f t="shared" si="61"/>
        <v>0</v>
      </c>
      <c r="Q87" s="168">
        <f t="shared" si="61"/>
        <v>0</v>
      </c>
      <c r="R87" s="168">
        <f t="shared" si="61"/>
        <v>0</v>
      </c>
      <c r="S87" s="168">
        <f t="shared" si="61"/>
        <v>0</v>
      </c>
      <c r="T87" s="168">
        <f t="shared" si="61"/>
        <v>35182</v>
      </c>
      <c r="U87" s="168">
        <f t="shared" si="61"/>
        <v>0</v>
      </c>
      <c r="V87" s="168">
        <f t="shared" si="61"/>
        <v>0</v>
      </c>
      <c r="W87" s="168">
        <f t="shared" si="62"/>
        <v>0</v>
      </c>
      <c r="X87" s="168">
        <f t="shared" si="62"/>
        <v>0</v>
      </c>
      <c r="Y87" s="168">
        <f t="shared" si="62"/>
        <v>0</v>
      </c>
      <c r="Z87" s="168">
        <f t="shared" si="62"/>
        <v>0</v>
      </c>
      <c r="AA87" s="168">
        <f t="shared" si="62"/>
        <v>0</v>
      </c>
      <c r="AB87" s="168">
        <f t="shared" si="62"/>
        <v>0</v>
      </c>
      <c r="AC87" s="168">
        <f t="shared" si="62"/>
        <v>0</v>
      </c>
      <c r="AD87" s="168">
        <f t="shared" si="62"/>
        <v>0</v>
      </c>
      <c r="AE87" s="168">
        <f t="shared" si="62"/>
        <v>0</v>
      </c>
      <c r="AF87" s="168">
        <f t="shared" si="62"/>
        <v>0</v>
      </c>
      <c r="AG87" s="168">
        <f t="shared" si="63"/>
        <v>0</v>
      </c>
      <c r="AH87" s="168">
        <f t="shared" si="63"/>
        <v>0</v>
      </c>
      <c r="AI87" s="168">
        <f t="shared" si="63"/>
        <v>58943</v>
      </c>
      <c r="AJ87" s="168">
        <f t="shared" si="63"/>
        <v>0</v>
      </c>
      <c r="AK87" s="168">
        <f t="shared" si="63"/>
        <v>0</v>
      </c>
      <c r="AL87" s="168">
        <f t="shared" si="63"/>
        <v>0</v>
      </c>
      <c r="AM87" s="168">
        <f t="shared" si="63"/>
        <v>0</v>
      </c>
      <c r="AN87" s="168">
        <f t="shared" si="63"/>
        <v>0</v>
      </c>
      <c r="AO87" s="168">
        <f t="shared" si="63"/>
        <v>0</v>
      </c>
      <c r="AP87" s="168">
        <f t="shared" si="63"/>
        <v>0</v>
      </c>
      <c r="AQ87" s="170"/>
      <c r="AR87" s="171">
        <f t="shared" si="44"/>
        <v>94125.000100000005</v>
      </c>
      <c r="AT87" s="166">
        <f t="shared" si="45"/>
        <v>2012</v>
      </c>
      <c r="AU87" s="166">
        <f t="shared" si="46"/>
        <v>0</v>
      </c>
      <c r="AV87" s="166">
        <v>100</v>
      </c>
      <c r="AW87" s="241">
        <f t="shared" si="47"/>
        <v>0</v>
      </c>
      <c r="AX87" s="166">
        <f t="shared" si="48"/>
        <v>0</v>
      </c>
      <c r="AY87" s="166">
        <f t="shared" si="49"/>
        <v>1</v>
      </c>
      <c r="AZ87" s="242">
        <f t="shared" si="50"/>
        <v>0</v>
      </c>
      <c r="BA87" s="234">
        <f t="shared" si="54"/>
        <v>0</v>
      </c>
      <c r="BB87" s="235">
        <f t="shared" si="55"/>
        <v>1</v>
      </c>
      <c r="BC87" s="235">
        <f t="shared" si="56"/>
        <v>0</v>
      </c>
      <c r="BD87" s="236">
        <f t="shared" si="57"/>
        <v>0</v>
      </c>
    </row>
    <row r="88" spans="1:56" s="163" customFormat="1" ht="16.25" customHeight="1">
      <c r="A88" s="163" t="s">
        <v>234</v>
      </c>
      <c r="B88" s="163" t="s">
        <v>289</v>
      </c>
      <c r="C88" s="185" t="s">
        <v>202</v>
      </c>
      <c r="D88" s="165">
        <v>1</v>
      </c>
      <c r="E88" s="201">
        <f>freezercoilcostyear</f>
        <v>2018</v>
      </c>
      <c r="F88" s="205">
        <f>D88*freezercoilunitcost</f>
        <v>8734</v>
      </c>
      <c r="G88" s="183">
        <v>0</v>
      </c>
      <c r="H88" s="206">
        <f t="shared" si="43"/>
        <v>9356.0791499999996</v>
      </c>
      <c r="I88" s="166">
        <v>2012</v>
      </c>
      <c r="J88" s="166"/>
      <c r="K88" s="177">
        <f>freezercoillife</f>
        <v>15</v>
      </c>
      <c r="L88" s="169" t="s">
        <v>444</v>
      </c>
      <c r="M88" s="168">
        <f t="shared" si="61"/>
        <v>0</v>
      </c>
      <c r="N88" s="168">
        <f t="shared" si="61"/>
        <v>0</v>
      </c>
      <c r="O88" s="168">
        <f t="shared" si="61"/>
        <v>0</v>
      </c>
      <c r="P88" s="168">
        <f t="shared" si="61"/>
        <v>0</v>
      </c>
      <c r="Q88" s="168">
        <f t="shared" si="61"/>
        <v>0</v>
      </c>
      <c r="R88" s="168">
        <f t="shared" si="61"/>
        <v>0</v>
      </c>
      <c r="S88" s="168">
        <f t="shared" si="61"/>
        <v>0</v>
      </c>
      <c r="T88" s="168">
        <f t="shared" si="61"/>
        <v>11904</v>
      </c>
      <c r="U88" s="168">
        <f t="shared" si="61"/>
        <v>0</v>
      </c>
      <c r="V88" s="168">
        <f t="shared" si="61"/>
        <v>0</v>
      </c>
      <c r="W88" s="168">
        <f t="shared" si="62"/>
        <v>0</v>
      </c>
      <c r="X88" s="168">
        <f t="shared" si="62"/>
        <v>0</v>
      </c>
      <c r="Y88" s="168">
        <f t="shared" si="62"/>
        <v>0</v>
      </c>
      <c r="Z88" s="168">
        <f t="shared" si="62"/>
        <v>0</v>
      </c>
      <c r="AA88" s="168">
        <f t="shared" si="62"/>
        <v>0</v>
      </c>
      <c r="AB88" s="168">
        <f t="shared" si="62"/>
        <v>0</v>
      </c>
      <c r="AC88" s="168">
        <f t="shared" si="62"/>
        <v>0</v>
      </c>
      <c r="AD88" s="168">
        <f t="shared" si="62"/>
        <v>0</v>
      </c>
      <c r="AE88" s="168">
        <f t="shared" si="62"/>
        <v>0</v>
      </c>
      <c r="AF88" s="168">
        <f t="shared" si="62"/>
        <v>0</v>
      </c>
      <c r="AG88" s="168">
        <f t="shared" si="63"/>
        <v>0</v>
      </c>
      <c r="AH88" s="168">
        <f t="shared" si="63"/>
        <v>0</v>
      </c>
      <c r="AI88" s="168">
        <f t="shared" si="63"/>
        <v>19943</v>
      </c>
      <c r="AJ88" s="168">
        <f t="shared" si="63"/>
        <v>0</v>
      </c>
      <c r="AK88" s="168">
        <f t="shared" si="63"/>
        <v>0</v>
      </c>
      <c r="AL88" s="168">
        <f t="shared" si="63"/>
        <v>0</v>
      </c>
      <c r="AM88" s="168">
        <f t="shared" si="63"/>
        <v>0</v>
      </c>
      <c r="AN88" s="168">
        <f t="shared" si="63"/>
        <v>0</v>
      </c>
      <c r="AO88" s="168">
        <f t="shared" si="63"/>
        <v>0</v>
      </c>
      <c r="AP88" s="168">
        <f t="shared" si="63"/>
        <v>0</v>
      </c>
      <c r="AQ88" s="170"/>
      <c r="AR88" s="171">
        <f t="shared" si="44"/>
        <v>31847.000100000001</v>
      </c>
      <c r="AT88" s="166">
        <f t="shared" si="45"/>
        <v>2012</v>
      </c>
      <c r="AU88" s="166">
        <f t="shared" si="46"/>
        <v>0</v>
      </c>
      <c r="AV88" s="166">
        <v>100</v>
      </c>
      <c r="AW88" s="241">
        <f t="shared" si="47"/>
        <v>0</v>
      </c>
      <c r="AX88" s="166">
        <f t="shared" si="48"/>
        <v>0</v>
      </c>
      <c r="AY88" s="166">
        <f t="shared" si="49"/>
        <v>1</v>
      </c>
      <c r="AZ88" s="242">
        <f t="shared" si="50"/>
        <v>0</v>
      </c>
      <c r="BA88" s="234">
        <f t="shared" si="54"/>
        <v>0</v>
      </c>
      <c r="BB88" s="235">
        <f t="shared" si="55"/>
        <v>1</v>
      </c>
      <c r="BC88" s="235">
        <f t="shared" si="56"/>
        <v>0</v>
      </c>
      <c r="BD88" s="236">
        <f t="shared" si="57"/>
        <v>0</v>
      </c>
    </row>
    <row r="89" spans="1:56" s="163" customFormat="1" ht="16.25" customHeight="1">
      <c r="A89" s="163" t="s">
        <v>234</v>
      </c>
      <c r="B89" s="163" t="s">
        <v>289</v>
      </c>
      <c r="C89" s="180" t="s">
        <v>358</v>
      </c>
      <c r="D89" s="165">
        <v>760</v>
      </c>
      <c r="E89" s="200">
        <f>RRConcretecostyear</f>
        <v>2019</v>
      </c>
      <c r="F89" s="204">
        <f>(D89*RRconcreteunitcost)</f>
        <v>22800</v>
      </c>
      <c r="G89" s="181">
        <v>0</v>
      </c>
      <c r="H89" s="206">
        <f t="shared" si="43"/>
        <v>23597.999999999996</v>
      </c>
      <c r="I89" s="166">
        <v>2012</v>
      </c>
      <c r="J89" s="184"/>
      <c r="K89" s="207">
        <f>RRCOncretelife</f>
        <v>30</v>
      </c>
      <c r="L89" s="169" t="s">
        <v>444</v>
      </c>
      <c r="M89" s="168">
        <f t="shared" si="61"/>
        <v>0</v>
      </c>
      <c r="N89" s="168">
        <f t="shared" si="61"/>
        <v>0</v>
      </c>
      <c r="O89" s="168">
        <f t="shared" si="61"/>
        <v>0</v>
      </c>
      <c r="P89" s="168">
        <f t="shared" si="61"/>
        <v>0</v>
      </c>
      <c r="Q89" s="168">
        <f t="shared" si="61"/>
        <v>0</v>
      </c>
      <c r="R89" s="168">
        <f t="shared" si="61"/>
        <v>0</v>
      </c>
      <c r="S89" s="168">
        <f t="shared" si="61"/>
        <v>0</v>
      </c>
      <c r="T89" s="168">
        <f t="shared" si="61"/>
        <v>0</v>
      </c>
      <c r="U89" s="168">
        <f t="shared" si="61"/>
        <v>0</v>
      </c>
      <c r="V89" s="168">
        <f t="shared" si="61"/>
        <v>0</v>
      </c>
      <c r="W89" s="168">
        <f t="shared" si="62"/>
        <v>0</v>
      </c>
      <c r="X89" s="168">
        <f t="shared" si="62"/>
        <v>0</v>
      </c>
      <c r="Y89" s="168">
        <f t="shared" si="62"/>
        <v>0</v>
      </c>
      <c r="Z89" s="168">
        <f t="shared" si="62"/>
        <v>0</v>
      </c>
      <c r="AA89" s="168">
        <f t="shared" si="62"/>
        <v>0</v>
      </c>
      <c r="AB89" s="168">
        <f t="shared" si="62"/>
        <v>0</v>
      </c>
      <c r="AC89" s="168">
        <f t="shared" si="62"/>
        <v>0</v>
      </c>
      <c r="AD89" s="168">
        <f t="shared" si="62"/>
        <v>0</v>
      </c>
      <c r="AE89" s="168">
        <f t="shared" si="62"/>
        <v>0</v>
      </c>
      <c r="AF89" s="168">
        <f t="shared" si="62"/>
        <v>0</v>
      </c>
      <c r="AG89" s="168">
        <f t="shared" si="63"/>
        <v>0</v>
      </c>
      <c r="AH89" s="168">
        <f t="shared" si="63"/>
        <v>0</v>
      </c>
      <c r="AI89" s="168">
        <f t="shared" si="63"/>
        <v>50299</v>
      </c>
      <c r="AJ89" s="168">
        <f t="shared" si="63"/>
        <v>0</v>
      </c>
      <c r="AK89" s="168">
        <f t="shared" si="63"/>
        <v>0</v>
      </c>
      <c r="AL89" s="168">
        <f t="shared" si="63"/>
        <v>0</v>
      </c>
      <c r="AM89" s="168">
        <f t="shared" si="63"/>
        <v>0</v>
      </c>
      <c r="AN89" s="168">
        <f t="shared" si="63"/>
        <v>0</v>
      </c>
      <c r="AO89" s="168">
        <f t="shared" si="63"/>
        <v>0</v>
      </c>
      <c r="AP89" s="168">
        <f t="shared" si="63"/>
        <v>0</v>
      </c>
      <c r="AQ89" s="170"/>
      <c r="AR89" s="171">
        <f t="shared" si="44"/>
        <v>50299.000099999997</v>
      </c>
      <c r="AT89" s="166">
        <f t="shared" si="45"/>
        <v>2012</v>
      </c>
      <c r="AU89" s="166">
        <f t="shared" si="46"/>
        <v>0</v>
      </c>
      <c r="AV89" s="166">
        <v>100</v>
      </c>
      <c r="AW89" s="241">
        <f t="shared" si="47"/>
        <v>0</v>
      </c>
      <c r="AX89" s="166">
        <f t="shared" si="48"/>
        <v>0</v>
      </c>
      <c r="AY89" s="166">
        <f t="shared" si="49"/>
        <v>1</v>
      </c>
      <c r="AZ89" s="242">
        <f t="shared" si="50"/>
        <v>0</v>
      </c>
      <c r="BA89" s="234">
        <f t="shared" si="54"/>
        <v>0</v>
      </c>
      <c r="BB89" s="235">
        <f t="shared" si="55"/>
        <v>1</v>
      </c>
      <c r="BC89" s="235">
        <f t="shared" si="56"/>
        <v>0</v>
      </c>
      <c r="BD89" s="236">
        <f t="shared" si="57"/>
        <v>0</v>
      </c>
    </row>
    <row r="90" spans="1:56" s="163" customFormat="1" ht="16.25" customHeight="1">
      <c r="A90" s="163" t="s">
        <v>234</v>
      </c>
      <c r="B90" s="163" t="s">
        <v>289</v>
      </c>
      <c r="C90" s="164" t="s">
        <v>320</v>
      </c>
      <c r="D90" s="166">
        <v>1</v>
      </c>
      <c r="E90" s="177">
        <f>passthrurefrigcostyear</f>
        <v>2019</v>
      </c>
      <c r="F90" s="203">
        <f>D90*passthrurefrigunitcost</f>
        <v>5378</v>
      </c>
      <c r="G90" s="167">
        <v>0</v>
      </c>
      <c r="H90" s="206">
        <f t="shared" si="43"/>
        <v>5566.23</v>
      </c>
      <c r="I90" s="166">
        <f>2019-8</f>
        <v>2011</v>
      </c>
      <c r="J90" s="166"/>
      <c r="K90" s="177">
        <f>passthrurefriglife</f>
        <v>8</v>
      </c>
      <c r="L90" s="169" t="s">
        <v>444</v>
      </c>
      <c r="M90" s="168">
        <f t="shared" si="61"/>
        <v>0</v>
      </c>
      <c r="N90" s="168">
        <f t="shared" si="61"/>
        <v>0</v>
      </c>
      <c r="O90" s="168">
        <f t="shared" si="61"/>
        <v>0</v>
      </c>
      <c r="P90" s="168">
        <f t="shared" si="61"/>
        <v>0</v>
      </c>
      <c r="Q90" s="168">
        <f t="shared" si="61"/>
        <v>0</v>
      </c>
      <c r="R90" s="168">
        <f t="shared" si="61"/>
        <v>0</v>
      </c>
      <c r="S90" s="168">
        <f t="shared" si="61"/>
        <v>0</v>
      </c>
      <c r="T90" s="168">
        <f t="shared" si="61"/>
        <v>7082</v>
      </c>
      <c r="U90" s="168">
        <f t="shared" si="61"/>
        <v>0</v>
      </c>
      <c r="V90" s="168">
        <f t="shared" si="61"/>
        <v>0</v>
      </c>
      <c r="W90" s="168">
        <f t="shared" si="62"/>
        <v>0</v>
      </c>
      <c r="X90" s="168">
        <f t="shared" si="62"/>
        <v>0</v>
      </c>
      <c r="Y90" s="168">
        <f t="shared" si="62"/>
        <v>0</v>
      </c>
      <c r="Z90" s="168">
        <f t="shared" si="62"/>
        <v>0</v>
      </c>
      <c r="AA90" s="168">
        <f t="shared" si="62"/>
        <v>0</v>
      </c>
      <c r="AB90" s="168">
        <f t="shared" si="62"/>
        <v>9325</v>
      </c>
      <c r="AC90" s="168">
        <f t="shared" si="62"/>
        <v>0</v>
      </c>
      <c r="AD90" s="168">
        <f t="shared" si="62"/>
        <v>0</v>
      </c>
      <c r="AE90" s="168">
        <f t="shared" si="62"/>
        <v>0</v>
      </c>
      <c r="AF90" s="168">
        <f t="shared" si="62"/>
        <v>0</v>
      </c>
      <c r="AG90" s="168">
        <f t="shared" si="63"/>
        <v>0</v>
      </c>
      <c r="AH90" s="168">
        <f t="shared" si="63"/>
        <v>0</v>
      </c>
      <c r="AI90" s="168">
        <f t="shared" si="63"/>
        <v>0</v>
      </c>
      <c r="AJ90" s="168">
        <f t="shared" si="63"/>
        <v>12280</v>
      </c>
      <c r="AK90" s="168">
        <f t="shared" si="63"/>
        <v>0</v>
      </c>
      <c r="AL90" s="168">
        <f t="shared" si="63"/>
        <v>0</v>
      </c>
      <c r="AM90" s="168">
        <f t="shared" si="63"/>
        <v>0</v>
      </c>
      <c r="AN90" s="168">
        <f t="shared" si="63"/>
        <v>0</v>
      </c>
      <c r="AO90" s="168">
        <f t="shared" si="63"/>
        <v>0</v>
      </c>
      <c r="AP90" s="168">
        <f t="shared" si="63"/>
        <v>0</v>
      </c>
      <c r="AQ90" s="170"/>
      <c r="AR90" s="171">
        <f t="shared" si="44"/>
        <v>28687.000100000001</v>
      </c>
      <c r="AT90" s="166">
        <f t="shared" si="45"/>
        <v>2011</v>
      </c>
      <c r="AU90" s="166">
        <f t="shared" si="46"/>
        <v>0</v>
      </c>
      <c r="AV90" s="166">
        <v>100</v>
      </c>
      <c r="AW90" s="241">
        <f t="shared" si="47"/>
        <v>0</v>
      </c>
      <c r="AX90" s="166">
        <f t="shared" si="48"/>
        <v>0</v>
      </c>
      <c r="AY90" s="166">
        <f t="shared" si="49"/>
        <v>1</v>
      </c>
      <c r="AZ90" s="242">
        <f t="shared" si="50"/>
        <v>0</v>
      </c>
      <c r="BA90" s="234">
        <f t="shared" si="54"/>
        <v>0</v>
      </c>
      <c r="BB90" s="235">
        <f t="shared" si="55"/>
        <v>1</v>
      </c>
      <c r="BC90" s="235">
        <f t="shared" si="56"/>
        <v>0</v>
      </c>
      <c r="BD90" s="236">
        <f t="shared" si="57"/>
        <v>0</v>
      </c>
    </row>
    <row r="91" spans="1:56" s="163" customFormat="1" ht="16.25" customHeight="1">
      <c r="A91" s="163" t="s">
        <v>234</v>
      </c>
      <c r="B91" s="163" t="s">
        <v>289</v>
      </c>
      <c r="C91" s="180" t="s">
        <v>359</v>
      </c>
      <c r="D91" s="165">
        <v>737</v>
      </c>
      <c r="E91" s="200">
        <f>RoadRRasphaltcostyear</f>
        <v>2019</v>
      </c>
      <c r="F91" s="204">
        <f>D91*RRconcreteunitcost</f>
        <v>22110</v>
      </c>
      <c r="G91" s="181">
        <v>0</v>
      </c>
      <c r="H91" s="206">
        <f t="shared" si="43"/>
        <v>22883.85</v>
      </c>
      <c r="I91" s="166">
        <v>2012</v>
      </c>
      <c r="J91" s="184"/>
      <c r="K91" s="207">
        <f>RRCOncretelife</f>
        <v>30</v>
      </c>
      <c r="L91" s="169"/>
      <c r="M91" s="168">
        <f t="shared" si="61"/>
        <v>0</v>
      </c>
      <c r="N91" s="168">
        <f t="shared" si="61"/>
        <v>0</v>
      </c>
      <c r="O91" s="168">
        <f t="shared" si="61"/>
        <v>0</v>
      </c>
      <c r="P91" s="168">
        <f t="shared" si="61"/>
        <v>0</v>
      </c>
      <c r="Q91" s="168">
        <f t="shared" si="61"/>
        <v>0</v>
      </c>
      <c r="R91" s="168">
        <f t="shared" si="61"/>
        <v>0</v>
      </c>
      <c r="S91" s="168">
        <f t="shared" si="61"/>
        <v>0</v>
      </c>
      <c r="T91" s="168">
        <f t="shared" si="61"/>
        <v>0</v>
      </c>
      <c r="U91" s="168">
        <f t="shared" si="61"/>
        <v>0</v>
      </c>
      <c r="V91" s="168">
        <f t="shared" si="61"/>
        <v>0</v>
      </c>
      <c r="W91" s="168">
        <f t="shared" si="62"/>
        <v>0</v>
      </c>
      <c r="X91" s="168">
        <f t="shared" si="62"/>
        <v>0</v>
      </c>
      <c r="Y91" s="168">
        <f t="shared" si="62"/>
        <v>0</v>
      </c>
      <c r="Z91" s="168">
        <f t="shared" si="62"/>
        <v>0</v>
      </c>
      <c r="AA91" s="168">
        <f t="shared" si="62"/>
        <v>0</v>
      </c>
      <c r="AB91" s="168">
        <f t="shared" si="62"/>
        <v>0</v>
      </c>
      <c r="AC91" s="168">
        <f t="shared" si="62"/>
        <v>0</v>
      </c>
      <c r="AD91" s="168">
        <f t="shared" si="62"/>
        <v>0</v>
      </c>
      <c r="AE91" s="168">
        <f t="shared" si="62"/>
        <v>0</v>
      </c>
      <c r="AF91" s="168">
        <f t="shared" si="62"/>
        <v>0</v>
      </c>
      <c r="AG91" s="168">
        <f t="shared" si="63"/>
        <v>0</v>
      </c>
      <c r="AH91" s="168">
        <f t="shared" si="63"/>
        <v>0</v>
      </c>
      <c r="AI91" s="168">
        <f t="shared" si="63"/>
        <v>48777</v>
      </c>
      <c r="AJ91" s="168">
        <f t="shared" si="63"/>
        <v>0</v>
      </c>
      <c r="AK91" s="168">
        <f t="shared" si="63"/>
        <v>0</v>
      </c>
      <c r="AL91" s="168">
        <f t="shared" si="63"/>
        <v>0</v>
      </c>
      <c r="AM91" s="168">
        <f t="shared" si="63"/>
        <v>0</v>
      </c>
      <c r="AN91" s="168">
        <f t="shared" si="63"/>
        <v>0</v>
      </c>
      <c r="AO91" s="168">
        <f t="shared" si="63"/>
        <v>0</v>
      </c>
      <c r="AP91" s="168">
        <f t="shared" si="63"/>
        <v>0</v>
      </c>
      <c r="AQ91" s="170"/>
      <c r="AR91" s="171">
        <f t="shared" si="44"/>
        <v>48777.000099999997</v>
      </c>
      <c r="AT91" s="166">
        <f t="shared" si="45"/>
        <v>2012</v>
      </c>
      <c r="AU91" s="166">
        <f t="shared" si="46"/>
        <v>0</v>
      </c>
      <c r="AV91" s="166">
        <v>100</v>
      </c>
      <c r="AW91" s="241">
        <f t="shared" si="47"/>
        <v>0</v>
      </c>
      <c r="AX91" s="166">
        <f t="shared" si="48"/>
        <v>0</v>
      </c>
      <c r="AY91" s="166">
        <f t="shared" si="49"/>
        <v>0</v>
      </c>
      <c r="AZ91" s="242">
        <f t="shared" si="50"/>
        <v>0</v>
      </c>
      <c r="BA91" s="234">
        <f t="shared" si="54"/>
        <v>0</v>
      </c>
      <c r="BB91" s="235">
        <f t="shared" si="55"/>
        <v>1</v>
      </c>
      <c r="BC91" s="235">
        <f t="shared" si="56"/>
        <v>0</v>
      </c>
      <c r="BD91" s="236">
        <f t="shared" si="57"/>
        <v>0</v>
      </c>
    </row>
    <row r="92" spans="1:56" s="163" customFormat="1" ht="16.25" customHeight="1">
      <c r="A92" s="163" t="s">
        <v>234</v>
      </c>
      <c r="B92" s="163" t="s">
        <v>289</v>
      </c>
      <c r="C92" s="180" t="s">
        <v>213</v>
      </c>
      <c r="D92" s="165">
        <v>1</v>
      </c>
      <c r="E92" s="200">
        <f>Rendezvousmakeupairunitcostyear</f>
        <v>2012</v>
      </c>
      <c r="F92" s="204">
        <f>D92*Rendezvousmakeupairunitcost</f>
        <v>15000</v>
      </c>
      <c r="G92" s="181">
        <v>0</v>
      </c>
      <c r="H92" s="206">
        <f t="shared" si="43"/>
        <v>19752.135554451044</v>
      </c>
      <c r="I92" s="166">
        <v>2012</v>
      </c>
      <c r="J92" s="184">
        <v>0</v>
      </c>
      <c r="K92" s="207">
        <f>RendezvousMakeupAirlife</f>
        <v>15</v>
      </c>
      <c r="L92" s="169" t="s">
        <v>444</v>
      </c>
      <c r="M92" s="168">
        <f t="shared" ref="M92:V107" si="64">ROUND($H92*IF(AND(M$1&gt;=($I92+$J92),MOD(M$1-($I92+$J92),$K92)=0),(1+InflationRate)^(M$1-AnalysisYear),0),0)*IF(AND(M$1&gt;=($AT92+$AU92),(M$1-($AT92+$AU92))&lt;&gt;0,MOD(M$1-($AT92+$AU92),$AV92)=0),0,1)</f>
        <v>0</v>
      </c>
      <c r="N92" s="168">
        <f t="shared" si="64"/>
        <v>0</v>
      </c>
      <c r="O92" s="168">
        <f t="shared" si="64"/>
        <v>0</v>
      </c>
      <c r="P92" s="168">
        <f t="shared" si="64"/>
        <v>0</v>
      </c>
      <c r="Q92" s="168">
        <f t="shared" si="64"/>
        <v>0</v>
      </c>
      <c r="R92" s="168">
        <f t="shared" si="64"/>
        <v>0</v>
      </c>
      <c r="S92" s="168">
        <f t="shared" si="64"/>
        <v>0</v>
      </c>
      <c r="T92" s="168">
        <f t="shared" si="64"/>
        <v>25130</v>
      </c>
      <c r="U92" s="168">
        <f t="shared" si="64"/>
        <v>0</v>
      </c>
      <c r="V92" s="168">
        <f t="shared" si="64"/>
        <v>0</v>
      </c>
      <c r="W92" s="168">
        <f t="shared" ref="W92:AF107" si="65">ROUND($H92*IF(AND(W$1&gt;=($I92+$J92),MOD(W$1-($I92+$J92),$K92)=0),(1+InflationRate)^(W$1-AnalysisYear),0),0)*IF(AND(W$1&gt;=($AT92+$AU92),(W$1-($AT92+$AU92))&lt;&gt;0,MOD(W$1-($AT92+$AU92),$AV92)=0),0,1)</f>
        <v>0</v>
      </c>
      <c r="X92" s="168">
        <f t="shared" si="65"/>
        <v>0</v>
      </c>
      <c r="Y92" s="168">
        <f t="shared" si="65"/>
        <v>0</v>
      </c>
      <c r="Z92" s="168">
        <f t="shared" si="65"/>
        <v>0</v>
      </c>
      <c r="AA92" s="168">
        <f t="shared" si="65"/>
        <v>0</v>
      </c>
      <c r="AB92" s="168">
        <f t="shared" si="65"/>
        <v>0</v>
      </c>
      <c r="AC92" s="168">
        <f t="shared" si="65"/>
        <v>0</v>
      </c>
      <c r="AD92" s="168">
        <f t="shared" si="65"/>
        <v>0</v>
      </c>
      <c r="AE92" s="168">
        <f t="shared" si="65"/>
        <v>0</v>
      </c>
      <c r="AF92" s="168">
        <f t="shared" si="65"/>
        <v>0</v>
      </c>
      <c r="AG92" s="168">
        <f t="shared" ref="AG92:AP107" si="66">ROUND($H92*IF(AND(AG$1&gt;=($I92+$J92),MOD(AG$1-($I92+$J92),$K92)=0),(1+InflationRate)^(AG$1-AnalysisYear),0),0)*IF(AND(AG$1&gt;=($AT92+$AU92),(AG$1-($AT92+$AU92))&lt;&gt;0,MOD(AG$1-($AT92+$AU92),$AV92)=0),0,1)</f>
        <v>0</v>
      </c>
      <c r="AH92" s="168">
        <f t="shared" si="66"/>
        <v>0</v>
      </c>
      <c r="AI92" s="168">
        <f t="shared" si="66"/>
        <v>42102</v>
      </c>
      <c r="AJ92" s="168">
        <f t="shared" si="66"/>
        <v>0</v>
      </c>
      <c r="AK92" s="168">
        <f t="shared" si="66"/>
        <v>0</v>
      </c>
      <c r="AL92" s="168">
        <f t="shared" si="66"/>
        <v>0</v>
      </c>
      <c r="AM92" s="168">
        <f t="shared" si="66"/>
        <v>0</v>
      </c>
      <c r="AN92" s="168">
        <f t="shared" si="66"/>
        <v>0</v>
      </c>
      <c r="AO92" s="168">
        <f t="shared" si="66"/>
        <v>0</v>
      </c>
      <c r="AP92" s="168">
        <f t="shared" si="66"/>
        <v>0</v>
      </c>
      <c r="AQ92" s="170"/>
      <c r="AR92" s="171">
        <f t="shared" si="44"/>
        <v>67232.000100000005</v>
      </c>
      <c r="AT92" s="166">
        <f t="shared" si="45"/>
        <v>2012</v>
      </c>
      <c r="AU92" s="166">
        <f t="shared" si="46"/>
        <v>0</v>
      </c>
      <c r="AV92" s="166">
        <v>100</v>
      </c>
      <c r="AW92" s="241">
        <f t="shared" si="47"/>
        <v>0</v>
      </c>
      <c r="AX92" s="166">
        <f t="shared" si="48"/>
        <v>0</v>
      </c>
      <c r="AY92" s="166">
        <f t="shared" si="49"/>
        <v>1</v>
      </c>
      <c r="AZ92" s="242">
        <f t="shared" si="50"/>
        <v>0</v>
      </c>
      <c r="BA92" s="234">
        <f t="shared" si="54"/>
        <v>0</v>
      </c>
      <c r="BB92" s="235">
        <f t="shared" si="55"/>
        <v>1</v>
      </c>
      <c r="BC92" s="235">
        <f t="shared" si="56"/>
        <v>0</v>
      </c>
      <c r="BD92" s="236">
        <f t="shared" si="57"/>
        <v>0</v>
      </c>
    </row>
    <row r="93" spans="1:56" s="163" customFormat="1" ht="16.25" customHeight="1">
      <c r="A93" s="163" t="s">
        <v>234</v>
      </c>
      <c r="B93" s="163" t="s">
        <v>289</v>
      </c>
      <c r="C93" s="180" t="s">
        <v>189</v>
      </c>
      <c r="D93" s="165">
        <v>1</v>
      </c>
      <c r="E93" s="201">
        <f>RendezvousRoofTopUnitcostyear</f>
        <v>2015</v>
      </c>
      <c r="F93" s="205">
        <f>D93*RendezvousRooftopunitcost</f>
        <v>90000</v>
      </c>
      <c r="G93" s="183">
        <v>0</v>
      </c>
      <c r="H93" s="206">
        <f t="shared" si="43"/>
        <v>106891.76750821871</v>
      </c>
      <c r="I93" s="166">
        <v>2012</v>
      </c>
      <c r="K93" s="177">
        <f>RendezvousRoofTopUnitLife</f>
        <v>15</v>
      </c>
      <c r="L93" s="169" t="s">
        <v>444</v>
      </c>
      <c r="M93" s="168">
        <f t="shared" si="64"/>
        <v>0</v>
      </c>
      <c r="N93" s="168">
        <f t="shared" si="64"/>
        <v>0</v>
      </c>
      <c r="O93" s="168">
        <f t="shared" si="64"/>
        <v>0</v>
      </c>
      <c r="P93" s="168">
        <f t="shared" si="64"/>
        <v>0</v>
      </c>
      <c r="Q93" s="168">
        <f t="shared" si="64"/>
        <v>0</v>
      </c>
      <c r="R93" s="168">
        <f t="shared" si="64"/>
        <v>0</v>
      </c>
      <c r="S93" s="168">
        <f t="shared" si="64"/>
        <v>0</v>
      </c>
      <c r="T93" s="168">
        <f t="shared" si="64"/>
        <v>135996</v>
      </c>
      <c r="U93" s="168">
        <f t="shared" si="64"/>
        <v>0</v>
      </c>
      <c r="V93" s="168">
        <f t="shared" si="64"/>
        <v>0</v>
      </c>
      <c r="W93" s="168">
        <f t="shared" si="65"/>
        <v>0</v>
      </c>
      <c r="X93" s="168">
        <f t="shared" si="65"/>
        <v>0</v>
      </c>
      <c r="Y93" s="168">
        <f t="shared" si="65"/>
        <v>0</v>
      </c>
      <c r="Z93" s="168">
        <f t="shared" si="65"/>
        <v>0</v>
      </c>
      <c r="AA93" s="168">
        <f t="shared" si="65"/>
        <v>0</v>
      </c>
      <c r="AB93" s="168">
        <f t="shared" si="65"/>
        <v>0</v>
      </c>
      <c r="AC93" s="168">
        <f t="shared" si="65"/>
        <v>0</v>
      </c>
      <c r="AD93" s="168">
        <f t="shared" si="65"/>
        <v>0</v>
      </c>
      <c r="AE93" s="168">
        <f t="shared" si="65"/>
        <v>0</v>
      </c>
      <c r="AF93" s="168">
        <f t="shared" si="65"/>
        <v>0</v>
      </c>
      <c r="AG93" s="168">
        <f t="shared" si="66"/>
        <v>0</v>
      </c>
      <c r="AH93" s="168">
        <f t="shared" si="66"/>
        <v>0</v>
      </c>
      <c r="AI93" s="168">
        <f t="shared" si="66"/>
        <v>227841</v>
      </c>
      <c r="AJ93" s="168">
        <f t="shared" si="66"/>
        <v>0</v>
      </c>
      <c r="AK93" s="168">
        <f t="shared" si="66"/>
        <v>0</v>
      </c>
      <c r="AL93" s="168">
        <f t="shared" si="66"/>
        <v>0</v>
      </c>
      <c r="AM93" s="168">
        <f t="shared" si="66"/>
        <v>0</v>
      </c>
      <c r="AN93" s="168">
        <f t="shared" si="66"/>
        <v>0</v>
      </c>
      <c r="AO93" s="168">
        <f t="shared" si="66"/>
        <v>0</v>
      </c>
      <c r="AP93" s="168">
        <f t="shared" si="66"/>
        <v>0</v>
      </c>
      <c r="AQ93" s="170"/>
      <c r="AR93" s="171">
        <f t="shared" si="44"/>
        <v>363837.0001</v>
      </c>
      <c r="AT93" s="166">
        <f t="shared" si="45"/>
        <v>2012</v>
      </c>
      <c r="AU93" s="166">
        <f t="shared" si="46"/>
        <v>0</v>
      </c>
      <c r="AV93" s="166">
        <v>100</v>
      </c>
      <c r="AW93" s="241">
        <f t="shared" si="47"/>
        <v>0</v>
      </c>
      <c r="AX93" s="166">
        <f t="shared" si="48"/>
        <v>0</v>
      </c>
      <c r="AY93" s="166">
        <f t="shared" si="49"/>
        <v>1</v>
      </c>
      <c r="AZ93" s="242">
        <f t="shared" si="50"/>
        <v>0</v>
      </c>
      <c r="BA93" s="234">
        <f t="shared" si="54"/>
        <v>0</v>
      </c>
      <c r="BB93" s="235">
        <f t="shared" si="55"/>
        <v>1</v>
      </c>
      <c r="BC93" s="235">
        <f t="shared" si="56"/>
        <v>0</v>
      </c>
      <c r="BD93" s="236">
        <f t="shared" si="57"/>
        <v>0</v>
      </c>
    </row>
    <row r="94" spans="1:56" s="163" customFormat="1" ht="16.25" customHeight="1">
      <c r="A94" s="163" t="s">
        <v>234</v>
      </c>
      <c r="B94" s="163" t="s">
        <v>289</v>
      </c>
      <c r="C94" s="164" t="s">
        <v>344</v>
      </c>
      <c r="D94" s="166">
        <v>1</v>
      </c>
      <c r="E94" s="177">
        <f>RestaurantAVcostyear</f>
        <v>2019</v>
      </c>
      <c r="F94" s="203">
        <f>D94*RestaurantAVunitcost</f>
        <v>30000</v>
      </c>
      <c r="G94" s="167">
        <v>0</v>
      </c>
      <c r="H94" s="206">
        <f t="shared" si="43"/>
        <v>31049.999999999996</v>
      </c>
      <c r="I94" s="166">
        <v>2013</v>
      </c>
      <c r="J94" s="166"/>
      <c r="K94" s="177">
        <f>RestaurantAVlife</f>
        <v>10</v>
      </c>
      <c r="L94" s="169" t="s">
        <v>444</v>
      </c>
      <c r="M94" s="168">
        <f t="shared" si="64"/>
        <v>0</v>
      </c>
      <c r="N94" s="168">
        <f t="shared" si="64"/>
        <v>0</v>
      </c>
      <c r="O94" s="168">
        <f t="shared" si="64"/>
        <v>0</v>
      </c>
      <c r="P94" s="168">
        <f t="shared" si="64"/>
        <v>34426</v>
      </c>
      <c r="Q94" s="168">
        <f t="shared" si="64"/>
        <v>0</v>
      </c>
      <c r="R94" s="168">
        <f t="shared" si="64"/>
        <v>0</v>
      </c>
      <c r="S94" s="168">
        <f t="shared" si="64"/>
        <v>0</v>
      </c>
      <c r="T94" s="168">
        <f t="shared" si="64"/>
        <v>0</v>
      </c>
      <c r="U94" s="168">
        <f t="shared" si="64"/>
        <v>0</v>
      </c>
      <c r="V94" s="168">
        <f t="shared" si="64"/>
        <v>0</v>
      </c>
      <c r="W94" s="168">
        <f t="shared" si="65"/>
        <v>0</v>
      </c>
      <c r="X94" s="168">
        <f t="shared" si="65"/>
        <v>0</v>
      </c>
      <c r="Y94" s="168">
        <f t="shared" si="65"/>
        <v>0</v>
      </c>
      <c r="Z94" s="168">
        <f t="shared" si="65"/>
        <v>48561</v>
      </c>
      <c r="AA94" s="168">
        <f t="shared" si="65"/>
        <v>0</v>
      </c>
      <c r="AB94" s="168">
        <f t="shared" si="65"/>
        <v>0</v>
      </c>
      <c r="AC94" s="168">
        <f t="shared" si="65"/>
        <v>0</v>
      </c>
      <c r="AD94" s="168">
        <f t="shared" si="65"/>
        <v>0</v>
      </c>
      <c r="AE94" s="168">
        <f t="shared" si="65"/>
        <v>0</v>
      </c>
      <c r="AF94" s="168">
        <f t="shared" si="65"/>
        <v>0</v>
      </c>
      <c r="AG94" s="168">
        <f t="shared" si="66"/>
        <v>0</v>
      </c>
      <c r="AH94" s="168">
        <f t="shared" si="66"/>
        <v>0</v>
      </c>
      <c r="AI94" s="168">
        <f t="shared" si="66"/>
        <v>0</v>
      </c>
      <c r="AJ94" s="168">
        <f t="shared" si="66"/>
        <v>68500</v>
      </c>
      <c r="AK94" s="168">
        <f t="shared" si="66"/>
        <v>0</v>
      </c>
      <c r="AL94" s="168">
        <f t="shared" si="66"/>
        <v>0</v>
      </c>
      <c r="AM94" s="168">
        <f t="shared" si="66"/>
        <v>0</v>
      </c>
      <c r="AN94" s="168">
        <f t="shared" si="66"/>
        <v>0</v>
      </c>
      <c r="AO94" s="168">
        <f t="shared" si="66"/>
        <v>0</v>
      </c>
      <c r="AP94" s="168">
        <f t="shared" si="66"/>
        <v>0</v>
      </c>
      <c r="AQ94" s="170"/>
      <c r="AR94" s="171">
        <f t="shared" si="44"/>
        <v>151487.0001</v>
      </c>
      <c r="AT94" s="166">
        <f t="shared" si="45"/>
        <v>2013</v>
      </c>
      <c r="AU94" s="166">
        <f t="shared" si="46"/>
        <v>0</v>
      </c>
      <c r="AV94" s="166">
        <v>100</v>
      </c>
      <c r="AW94" s="241">
        <f t="shared" si="47"/>
        <v>0</v>
      </c>
      <c r="AX94" s="166">
        <f t="shared" si="48"/>
        <v>0</v>
      </c>
      <c r="AY94" s="166">
        <f t="shared" si="49"/>
        <v>1</v>
      </c>
      <c r="AZ94" s="242">
        <f t="shared" si="50"/>
        <v>0</v>
      </c>
      <c r="BA94" s="234">
        <f t="shared" si="54"/>
        <v>0</v>
      </c>
      <c r="BB94" s="235">
        <f t="shared" si="55"/>
        <v>1</v>
      </c>
      <c r="BC94" s="235">
        <f t="shared" si="56"/>
        <v>0</v>
      </c>
      <c r="BD94" s="236">
        <f t="shared" si="57"/>
        <v>0</v>
      </c>
    </row>
    <row r="95" spans="1:56" s="163" customFormat="1" ht="16.25" customHeight="1">
      <c r="A95" s="163" t="s">
        <v>234</v>
      </c>
      <c r="B95" s="163" t="s">
        <v>289</v>
      </c>
      <c r="C95" s="164" t="s">
        <v>49</v>
      </c>
      <c r="D95" s="166">
        <v>15</v>
      </c>
      <c r="E95" s="177">
        <f>Restaurantbarstoolscostyear</f>
        <v>2014</v>
      </c>
      <c r="F95" s="203">
        <f>D95*restaurantbarstoolsunitcost</f>
        <v>5250</v>
      </c>
      <c r="G95" s="167">
        <v>0</v>
      </c>
      <c r="H95" s="206">
        <f t="shared" si="43"/>
        <v>6453.5904633087048</v>
      </c>
      <c r="I95" s="166">
        <v>2012</v>
      </c>
      <c r="J95" s="166">
        <v>0</v>
      </c>
      <c r="K95" s="177">
        <f>Restaurantbarstoolslife</f>
        <v>15</v>
      </c>
      <c r="L95" s="169" t="s">
        <v>444</v>
      </c>
      <c r="M95" s="168">
        <f t="shared" si="64"/>
        <v>0</v>
      </c>
      <c r="N95" s="168">
        <f t="shared" si="64"/>
        <v>0</v>
      </c>
      <c r="O95" s="168">
        <f t="shared" si="64"/>
        <v>0</v>
      </c>
      <c r="P95" s="168">
        <f t="shared" si="64"/>
        <v>0</v>
      </c>
      <c r="Q95" s="168">
        <f t="shared" si="64"/>
        <v>0</v>
      </c>
      <c r="R95" s="168">
        <f t="shared" si="64"/>
        <v>0</v>
      </c>
      <c r="S95" s="168">
        <f t="shared" si="64"/>
        <v>0</v>
      </c>
      <c r="T95" s="168">
        <f t="shared" si="64"/>
        <v>8211</v>
      </c>
      <c r="U95" s="168">
        <f t="shared" si="64"/>
        <v>0</v>
      </c>
      <c r="V95" s="168">
        <f t="shared" si="64"/>
        <v>0</v>
      </c>
      <c r="W95" s="168">
        <f t="shared" si="65"/>
        <v>0</v>
      </c>
      <c r="X95" s="168">
        <f t="shared" si="65"/>
        <v>0</v>
      </c>
      <c r="Y95" s="168">
        <f t="shared" si="65"/>
        <v>0</v>
      </c>
      <c r="Z95" s="168">
        <f t="shared" si="65"/>
        <v>0</v>
      </c>
      <c r="AA95" s="168">
        <f t="shared" si="65"/>
        <v>0</v>
      </c>
      <c r="AB95" s="168">
        <f t="shared" si="65"/>
        <v>0</v>
      </c>
      <c r="AC95" s="168">
        <f t="shared" si="65"/>
        <v>0</v>
      </c>
      <c r="AD95" s="168">
        <f t="shared" si="65"/>
        <v>0</v>
      </c>
      <c r="AE95" s="168">
        <f t="shared" si="65"/>
        <v>0</v>
      </c>
      <c r="AF95" s="168">
        <f t="shared" si="65"/>
        <v>0</v>
      </c>
      <c r="AG95" s="168">
        <f t="shared" si="66"/>
        <v>0</v>
      </c>
      <c r="AH95" s="168">
        <f t="shared" si="66"/>
        <v>0</v>
      </c>
      <c r="AI95" s="168">
        <f t="shared" si="66"/>
        <v>13756</v>
      </c>
      <c r="AJ95" s="168">
        <f t="shared" si="66"/>
        <v>0</v>
      </c>
      <c r="AK95" s="168">
        <f t="shared" si="66"/>
        <v>0</v>
      </c>
      <c r="AL95" s="168">
        <f t="shared" si="66"/>
        <v>0</v>
      </c>
      <c r="AM95" s="168">
        <f t="shared" si="66"/>
        <v>0</v>
      </c>
      <c r="AN95" s="168">
        <f t="shared" si="66"/>
        <v>0</v>
      </c>
      <c r="AO95" s="168">
        <f t="shared" si="66"/>
        <v>0</v>
      </c>
      <c r="AP95" s="168">
        <f t="shared" si="66"/>
        <v>0</v>
      </c>
      <c r="AQ95" s="170"/>
      <c r="AR95" s="171">
        <f t="shared" si="44"/>
        <v>21967.000100000001</v>
      </c>
      <c r="AT95" s="166">
        <f t="shared" si="45"/>
        <v>2012</v>
      </c>
      <c r="AU95" s="166">
        <f t="shared" si="46"/>
        <v>0</v>
      </c>
      <c r="AV95" s="166">
        <v>100</v>
      </c>
      <c r="AW95" s="241">
        <f t="shared" si="47"/>
        <v>0</v>
      </c>
      <c r="AX95" s="166">
        <f t="shared" si="48"/>
        <v>0</v>
      </c>
      <c r="AY95" s="166">
        <f t="shared" si="49"/>
        <v>1</v>
      </c>
      <c r="AZ95" s="242">
        <f t="shared" si="50"/>
        <v>0</v>
      </c>
      <c r="BA95" s="234">
        <f t="shared" si="54"/>
        <v>0</v>
      </c>
      <c r="BB95" s="235">
        <f t="shared" si="55"/>
        <v>1</v>
      </c>
      <c r="BC95" s="235">
        <f t="shared" si="56"/>
        <v>0</v>
      </c>
      <c r="BD95" s="236">
        <f t="shared" si="57"/>
        <v>0</v>
      </c>
    </row>
    <row r="96" spans="1:56" s="163" customFormat="1" ht="16.25" customHeight="1">
      <c r="A96" s="163" t="s">
        <v>234</v>
      </c>
      <c r="B96" s="163" t="s">
        <v>289</v>
      </c>
      <c r="C96" s="164" t="s">
        <v>363</v>
      </c>
      <c r="D96" s="179">
        <v>145</v>
      </c>
      <c r="E96" s="177">
        <f>clubcarpeting5yearcostyear</f>
        <v>2018</v>
      </c>
      <c r="F96" s="203">
        <f>D96*clubcarpeting5yearunitcost</f>
        <v>9425</v>
      </c>
      <c r="G96" s="167">
        <v>0</v>
      </c>
      <c r="H96" s="206">
        <f t="shared" si="43"/>
        <v>10096.295624999999</v>
      </c>
      <c r="I96" s="166">
        <v>2018</v>
      </c>
      <c r="J96" s="166"/>
      <c r="K96" s="177">
        <f>clubcarpeting5yearlife</f>
        <v>5</v>
      </c>
      <c r="L96" s="169" t="s">
        <v>444</v>
      </c>
      <c r="M96" s="168">
        <f t="shared" si="64"/>
        <v>0</v>
      </c>
      <c r="N96" s="168">
        <f t="shared" si="64"/>
        <v>0</v>
      </c>
      <c r="O96" s="168">
        <f t="shared" si="64"/>
        <v>0</v>
      </c>
      <c r="P96" s="168">
        <f t="shared" si="64"/>
        <v>11194</v>
      </c>
      <c r="Q96" s="168">
        <f t="shared" si="64"/>
        <v>0</v>
      </c>
      <c r="R96" s="168">
        <f t="shared" si="64"/>
        <v>0</v>
      </c>
      <c r="S96" s="168">
        <f t="shared" si="64"/>
        <v>0</v>
      </c>
      <c r="T96" s="168">
        <f t="shared" si="64"/>
        <v>0</v>
      </c>
      <c r="U96" s="168">
        <f t="shared" si="64"/>
        <v>13295</v>
      </c>
      <c r="V96" s="168">
        <f t="shared" si="64"/>
        <v>0</v>
      </c>
      <c r="W96" s="168">
        <f t="shared" si="65"/>
        <v>0</v>
      </c>
      <c r="X96" s="168">
        <f t="shared" si="65"/>
        <v>0</v>
      </c>
      <c r="Y96" s="168">
        <f t="shared" si="65"/>
        <v>0</v>
      </c>
      <c r="Z96" s="168">
        <f t="shared" si="65"/>
        <v>15790</v>
      </c>
      <c r="AA96" s="168">
        <f t="shared" si="65"/>
        <v>0</v>
      </c>
      <c r="AB96" s="168">
        <f t="shared" si="65"/>
        <v>0</v>
      </c>
      <c r="AC96" s="168">
        <f t="shared" si="65"/>
        <v>0</v>
      </c>
      <c r="AD96" s="168">
        <f t="shared" si="65"/>
        <v>0</v>
      </c>
      <c r="AE96" s="168">
        <f t="shared" si="65"/>
        <v>18754</v>
      </c>
      <c r="AF96" s="168">
        <f t="shared" si="65"/>
        <v>0</v>
      </c>
      <c r="AG96" s="168">
        <f t="shared" si="66"/>
        <v>0</v>
      </c>
      <c r="AH96" s="168">
        <f t="shared" si="66"/>
        <v>0</v>
      </c>
      <c r="AI96" s="168">
        <f t="shared" si="66"/>
        <v>0</v>
      </c>
      <c r="AJ96" s="168">
        <f t="shared" si="66"/>
        <v>22274</v>
      </c>
      <c r="AK96" s="168">
        <f t="shared" si="66"/>
        <v>0</v>
      </c>
      <c r="AL96" s="168">
        <f t="shared" si="66"/>
        <v>0</v>
      </c>
      <c r="AM96" s="168">
        <f t="shared" si="66"/>
        <v>0</v>
      </c>
      <c r="AN96" s="168">
        <f t="shared" si="66"/>
        <v>0</v>
      </c>
      <c r="AO96" s="168">
        <f t="shared" si="66"/>
        <v>26454</v>
      </c>
      <c r="AP96" s="168">
        <f t="shared" si="66"/>
        <v>0</v>
      </c>
      <c r="AQ96" s="170"/>
      <c r="AR96" s="171">
        <f t="shared" si="44"/>
        <v>107761.0001</v>
      </c>
      <c r="AT96" s="166">
        <f t="shared" si="45"/>
        <v>2018</v>
      </c>
      <c r="AU96" s="166">
        <f t="shared" si="46"/>
        <v>0</v>
      </c>
      <c r="AV96" s="166">
        <v>100</v>
      </c>
      <c r="AW96" s="241">
        <f t="shared" si="47"/>
        <v>0</v>
      </c>
      <c r="AX96" s="166">
        <f t="shared" si="48"/>
        <v>0</v>
      </c>
      <c r="AY96" s="166">
        <f t="shared" si="49"/>
        <v>1</v>
      </c>
      <c r="AZ96" s="242">
        <f t="shared" si="50"/>
        <v>0</v>
      </c>
      <c r="BA96" s="234">
        <f t="shared" si="54"/>
        <v>0</v>
      </c>
      <c r="BB96" s="235">
        <f t="shared" si="55"/>
        <v>1</v>
      </c>
      <c r="BC96" s="235">
        <f t="shared" si="56"/>
        <v>0</v>
      </c>
      <c r="BD96" s="236">
        <f t="shared" si="57"/>
        <v>0</v>
      </c>
    </row>
    <row r="97" spans="1:56" s="163" customFormat="1" ht="16.25" customHeight="1">
      <c r="A97" s="163" t="s">
        <v>234</v>
      </c>
      <c r="B97" s="163" t="s">
        <v>289</v>
      </c>
      <c r="C97" s="164" t="s">
        <v>316</v>
      </c>
      <c r="D97" s="166">
        <v>21</v>
      </c>
      <c r="E97" s="177">
        <f>Restauranttablessquarecostyear</f>
        <v>2012</v>
      </c>
      <c r="F97" s="203">
        <f>D97*Restauranttablessquareunitcost</f>
        <v>8400</v>
      </c>
      <c r="G97" s="167">
        <v>0</v>
      </c>
      <c r="H97" s="206">
        <f t="shared" si="43"/>
        <v>11061.195910492585</v>
      </c>
      <c r="I97" s="166">
        <v>2012</v>
      </c>
      <c r="J97" s="166">
        <v>0</v>
      </c>
      <c r="K97" s="177">
        <f>Restauranttablessquarelife</f>
        <v>15</v>
      </c>
      <c r="L97" s="169" t="s">
        <v>444</v>
      </c>
      <c r="M97" s="168">
        <f t="shared" si="64"/>
        <v>0</v>
      </c>
      <c r="N97" s="168">
        <f t="shared" si="64"/>
        <v>0</v>
      </c>
      <c r="O97" s="168">
        <f t="shared" si="64"/>
        <v>0</v>
      </c>
      <c r="P97" s="168">
        <f t="shared" si="64"/>
        <v>0</v>
      </c>
      <c r="Q97" s="168">
        <f t="shared" si="64"/>
        <v>0</v>
      </c>
      <c r="R97" s="168">
        <f t="shared" si="64"/>
        <v>0</v>
      </c>
      <c r="S97" s="168">
        <f t="shared" si="64"/>
        <v>0</v>
      </c>
      <c r="T97" s="168">
        <f t="shared" si="64"/>
        <v>14073</v>
      </c>
      <c r="U97" s="168">
        <f t="shared" si="64"/>
        <v>0</v>
      </c>
      <c r="V97" s="168">
        <f t="shared" si="64"/>
        <v>0</v>
      </c>
      <c r="W97" s="168">
        <f t="shared" si="65"/>
        <v>0</v>
      </c>
      <c r="X97" s="168">
        <f t="shared" si="65"/>
        <v>0</v>
      </c>
      <c r="Y97" s="168">
        <f t="shared" si="65"/>
        <v>0</v>
      </c>
      <c r="Z97" s="168">
        <f t="shared" si="65"/>
        <v>0</v>
      </c>
      <c r="AA97" s="168">
        <f t="shared" si="65"/>
        <v>0</v>
      </c>
      <c r="AB97" s="168">
        <f t="shared" si="65"/>
        <v>0</v>
      </c>
      <c r="AC97" s="168">
        <f t="shared" si="65"/>
        <v>0</v>
      </c>
      <c r="AD97" s="168">
        <f t="shared" si="65"/>
        <v>0</v>
      </c>
      <c r="AE97" s="168">
        <f t="shared" si="65"/>
        <v>0</v>
      </c>
      <c r="AF97" s="168">
        <f t="shared" si="65"/>
        <v>0</v>
      </c>
      <c r="AG97" s="168">
        <f t="shared" si="66"/>
        <v>0</v>
      </c>
      <c r="AH97" s="168">
        <f t="shared" si="66"/>
        <v>0</v>
      </c>
      <c r="AI97" s="168">
        <f t="shared" si="66"/>
        <v>23577</v>
      </c>
      <c r="AJ97" s="168">
        <f t="shared" si="66"/>
        <v>0</v>
      </c>
      <c r="AK97" s="168">
        <f t="shared" si="66"/>
        <v>0</v>
      </c>
      <c r="AL97" s="168">
        <f t="shared" si="66"/>
        <v>0</v>
      </c>
      <c r="AM97" s="168">
        <f t="shared" si="66"/>
        <v>0</v>
      </c>
      <c r="AN97" s="168">
        <f t="shared" si="66"/>
        <v>0</v>
      </c>
      <c r="AO97" s="168">
        <f t="shared" si="66"/>
        <v>0</v>
      </c>
      <c r="AP97" s="168">
        <f t="shared" si="66"/>
        <v>0</v>
      </c>
      <c r="AQ97" s="170"/>
      <c r="AR97" s="171">
        <f t="shared" si="44"/>
        <v>37650.000099999997</v>
      </c>
      <c r="AT97" s="166">
        <f t="shared" si="45"/>
        <v>2012</v>
      </c>
      <c r="AU97" s="166">
        <f t="shared" si="46"/>
        <v>0</v>
      </c>
      <c r="AV97" s="166">
        <v>100</v>
      </c>
      <c r="AW97" s="241">
        <f t="shared" si="47"/>
        <v>0</v>
      </c>
      <c r="AX97" s="166">
        <f t="shared" si="48"/>
        <v>0</v>
      </c>
      <c r="AY97" s="166">
        <f t="shared" si="49"/>
        <v>1</v>
      </c>
      <c r="AZ97" s="242">
        <f t="shared" si="50"/>
        <v>0</v>
      </c>
      <c r="BA97" s="234">
        <f t="shared" si="54"/>
        <v>0</v>
      </c>
      <c r="BB97" s="235">
        <f t="shared" si="55"/>
        <v>1</v>
      </c>
      <c r="BC97" s="235">
        <f t="shared" si="56"/>
        <v>0</v>
      </c>
      <c r="BD97" s="236">
        <f t="shared" si="57"/>
        <v>0</v>
      </c>
    </row>
    <row r="98" spans="1:56" s="163" customFormat="1" ht="16.25" customHeight="1">
      <c r="A98" s="163" t="s">
        <v>234</v>
      </c>
      <c r="B98" s="163" t="s">
        <v>289</v>
      </c>
      <c r="C98" s="164" t="s">
        <v>317</v>
      </c>
      <c r="D98" s="166">
        <v>25</v>
      </c>
      <c r="E98" s="177">
        <f>restauranttablesroundcostyear</f>
        <v>2012</v>
      </c>
      <c r="F98" s="203">
        <f>D98*restauranttablesroundunitcost</f>
        <v>12500</v>
      </c>
      <c r="G98" s="167">
        <v>0</v>
      </c>
      <c r="H98" s="206">
        <f t="shared" ref="H98:H125" si="67">IF(F98*((1+InflationRate)^(AnalysisYear-E98))&lt;MinimumProjectCost,0,F98*((1+InflationRate)^(AnalysisYear-E98)))</f>
        <v>16460.112962042534</v>
      </c>
      <c r="I98" s="166">
        <v>2012</v>
      </c>
      <c r="J98" s="166">
        <v>0</v>
      </c>
      <c r="K98" s="177">
        <f>restauranttablesroundlife</f>
        <v>15</v>
      </c>
      <c r="L98" s="169" t="s">
        <v>444</v>
      </c>
      <c r="M98" s="168">
        <f t="shared" si="64"/>
        <v>0</v>
      </c>
      <c r="N98" s="168">
        <f t="shared" si="64"/>
        <v>0</v>
      </c>
      <c r="O98" s="168">
        <f t="shared" si="64"/>
        <v>0</v>
      </c>
      <c r="P98" s="168">
        <f t="shared" si="64"/>
        <v>0</v>
      </c>
      <c r="Q98" s="168">
        <f t="shared" si="64"/>
        <v>0</v>
      </c>
      <c r="R98" s="168">
        <f t="shared" si="64"/>
        <v>0</v>
      </c>
      <c r="S98" s="168">
        <f t="shared" si="64"/>
        <v>0</v>
      </c>
      <c r="T98" s="168">
        <f t="shared" si="64"/>
        <v>20942</v>
      </c>
      <c r="U98" s="168">
        <f t="shared" si="64"/>
        <v>0</v>
      </c>
      <c r="V98" s="168">
        <f t="shared" si="64"/>
        <v>0</v>
      </c>
      <c r="W98" s="168">
        <f t="shared" si="65"/>
        <v>0</v>
      </c>
      <c r="X98" s="168">
        <f t="shared" si="65"/>
        <v>0</v>
      </c>
      <c r="Y98" s="168">
        <f t="shared" si="65"/>
        <v>0</v>
      </c>
      <c r="Z98" s="168">
        <f t="shared" si="65"/>
        <v>0</v>
      </c>
      <c r="AA98" s="168">
        <f t="shared" si="65"/>
        <v>0</v>
      </c>
      <c r="AB98" s="168">
        <f t="shared" si="65"/>
        <v>0</v>
      </c>
      <c r="AC98" s="168">
        <f t="shared" si="65"/>
        <v>0</v>
      </c>
      <c r="AD98" s="168">
        <f t="shared" si="65"/>
        <v>0</v>
      </c>
      <c r="AE98" s="168">
        <f t="shared" si="65"/>
        <v>0</v>
      </c>
      <c r="AF98" s="168">
        <f t="shared" si="65"/>
        <v>0</v>
      </c>
      <c r="AG98" s="168">
        <f t="shared" si="66"/>
        <v>0</v>
      </c>
      <c r="AH98" s="168">
        <f t="shared" si="66"/>
        <v>0</v>
      </c>
      <c r="AI98" s="168">
        <f t="shared" si="66"/>
        <v>35085</v>
      </c>
      <c r="AJ98" s="168">
        <f t="shared" si="66"/>
        <v>0</v>
      </c>
      <c r="AK98" s="168">
        <f t="shared" si="66"/>
        <v>0</v>
      </c>
      <c r="AL98" s="168">
        <f t="shared" si="66"/>
        <v>0</v>
      </c>
      <c r="AM98" s="168">
        <f t="shared" si="66"/>
        <v>0</v>
      </c>
      <c r="AN98" s="168">
        <f t="shared" si="66"/>
        <v>0</v>
      </c>
      <c r="AO98" s="168">
        <f t="shared" si="66"/>
        <v>0</v>
      </c>
      <c r="AP98" s="168">
        <f t="shared" si="66"/>
        <v>0</v>
      </c>
      <c r="AQ98" s="170"/>
      <c r="AR98" s="171">
        <f t="shared" ref="AR98:AR104" si="68">SUM(L98:AQ98)+0.0001</f>
        <v>56027.000099999997</v>
      </c>
      <c r="AT98" s="166">
        <f t="shared" ref="AT98:AT104" si="69">I98</f>
        <v>2012</v>
      </c>
      <c r="AU98" s="166">
        <f t="shared" ref="AU98:AU104" si="70">J98</f>
        <v>0</v>
      </c>
      <c r="AV98" s="166">
        <v>100</v>
      </c>
      <c r="AW98" s="241">
        <f t="shared" ref="AW98:AW114" si="71">IF($L98="F",1,0)</f>
        <v>0</v>
      </c>
      <c r="AX98" s="166">
        <f t="shared" ref="AX98:AX114" si="72">IF($L98="L",1,0)</f>
        <v>0</v>
      </c>
      <c r="AY98" s="166">
        <f t="shared" ref="AY98:AY114" si="73">IF($L98="T",1,0)</f>
        <v>1</v>
      </c>
      <c r="AZ98" s="242">
        <f t="shared" ref="AZ98:AZ114" si="74">IF($L98="I",1,0)</f>
        <v>0</v>
      </c>
      <c r="BA98" s="234">
        <f t="shared" si="54"/>
        <v>0</v>
      </c>
      <c r="BB98" s="235">
        <f t="shared" si="55"/>
        <v>1</v>
      </c>
      <c r="BC98" s="235">
        <f t="shared" si="56"/>
        <v>0</v>
      </c>
      <c r="BD98" s="236">
        <f t="shared" si="57"/>
        <v>0</v>
      </c>
    </row>
    <row r="99" spans="1:56" s="163" customFormat="1" ht="16.25" customHeight="1">
      <c r="A99" s="163" t="s">
        <v>234</v>
      </c>
      <c r="B99" s="163" t="s">
        <v>289</v>
      </c>
      <c r="C99" s="164" t="s">
        <v>362</v>
      </c>
      <c r="D99" s="179">
        <v>232</v>
      </c>
      <c r="E99" s="177">
        <f>(floordancecostyear)</f>
        <v>2014</v>
      </c>
      <c r="F99" s="203">
        <f>D99*floordanceunitcost</f>
        <v>15660</v>
      </c>
      <c r="G99" s="167">
        <v>0</v>
      </c>
      <c r="H99" s="206">
        <f t="shared" si="67"/>
        <v>19250.138410555108</v>
      </c>
      <c r="I99" s="166">
        <v>2018</v>
      </c>
      <c r="J99" s="166"/>
      <c r="K99" s="177">
        <f>floordancelife</f>
        <v>10</v>
      </c>
      <c r="L99" s="169" t="s">
        <v>444</v>
      </c>
      <c r="M99" s="168">
        <f t="shared" si="64"/>
        <v>0</v>
      </c>
      <c r="N99" s="168">
        <f t="shared" si="64"/>
        <v>0</v>
      </c>
      <c r="O99" s="168">
        <f t="shared" si="64"/>
        <v>0</v>
      </c>
      <c r="P99" s="168">
        <f t="shared" si="64"/>
        <v>0</v>
      </c>
      <c r="Q99" s="168">
        <f t="shared" si="64"/>
        <v>0</v>
      </c>
      <c r="R99" s="168">
        <f t="shared" si="64"/>
        <v>0</v>
      </c>
      <c r="S99" s="168">
        <f t="shared" si="64"/>
        <v>0</v>
      </c>
      <c r="T99" s="168">
        <f t="shared" si="64"/>
        <v>0</v>
      </c>
      <c r="U99" s="168">
        <f t="shared" si="64"/>
        <v>25349</v>
      </c>
      <c r="V99" s="168">
        <f t="shared" si="64"/>
        <v>0</v>
      </c>
      <c r="W99" s="168">
        <f t="shared" si="65"/>
        <v>0</v>
      </c>
      <c r="X99" s="168">
        <f t="shared" si="65"/>
        <v>0</v>
      </c>
      <c r="Y99" s="168">
        <f t="shared" si="65"/>
        <v>0</v>
      </c>
      <c r="Z99" s="168">
        <f t="shared" si="65"/>
        <v>0</v>
      </c>
      <c r="AA99" s="168">
        <f t="shared" si="65"/>
        <v>0</v>
      </c>
      <c r="AB99" s="168">
        <f t="shared" si="65"/>
        <v>0</v>
      </c>
      <c r="AC99" s="168">
        <f t="shared" si="65"/>
        <v>0</v>
      </c>
      <c r="AD99" s="168">
        <f t="shared" si="65"/>
        <v>0</v>
      </c>
      <c r="AE99" s="168">
        <f t="shared" si="65"/>
        <v>35757</v>
      </c>
      <c r="AF99" s="168">
        <f t="shared" si="65"/>
        <v>0</v>
      </c>
      <c r="AG99" s="168">
        <f t="shared" si="66"/>
        <v>0</v>
      </c>
      <c r="AH99" s="168">
        <f t="shared" si="66"/>
        <v>0</v>
      </c>
      <c r="AI99" s="168">
        <f t="shared" si="66"/>
        <v>0</v>
      </c>
      <c r="AJ99" s="168">
        <f t="shared" si="66"/>
        <v>0</v>
      </c>
      <c r="AK99" s="168">
        <f t="shared" si="66"/>
        <v>0</v>
      </c>
      <c r="AL99" s="168">
        <f t="shared" si="66"/>
        <v>0</v>
      </c>
      <c r="AM99" s="168">
        <f t="shared" si="66"/>
        <v>0</v>
      </c>
      <c r="AN99" s="168">
        <f t="shared" si="66"/>
        <v>0</v>
      </c>
      <c r="AO99" s="168">
        <f t="shared" si="66"/>
        <v>50439</v>
      </c>
      <c r="AP99" s="168">
        <f t="shared" si="66"/>
        <v>0</v>
      </c>
      <c r="AQ99" s="170"/>
      <c r="AR99" s="171">
        <f t="shared" si="68"/>
        <v>111545.0001</v>
      </c>
      <c r="AT99" s="166">
        <f t="shared" si="69"/>
        <v>2018</v>
      </c>
      <c r="AU99" s="166">
        <f t="shared" si="70"/>
        <v>0</v>
      </c>
      <c r="AV99" s="166">
        <v>100</v>
      </c>
      <c r="AW99" s="241">
        <f t="shared" si="71"/>
        <v>0</v>
      </c>
      <c r="AX99" s="166">
        <f t="shared" si="72"/>
        <v>0</v>
      </c>
      <c r="AY99" s="166">
        <f t="shared" si="73"/>
        <v>1</v>
      </c>
      <c r="AZ99" s="242">
        <f t="shared" si="74"/>
        <v>0</v>
      </c>
      <c r="BA99" s="234">
        <f t="shared" si="54"/>
        <v>0</v>
      </c>
      <c r="BB99" s="235">
        <f t="shared" si="55"/>
        <v>1</v>
      </c>
      <c r="BC99" s="235">
        <f t="shared" si="56"/>
        <v>0</v>
      </c>
      <c r="BD99" s="236">
        <f t="shared" si="57"/>
        <v>0</v>
      </c>
    </row>
    <row r="100" spans="1:56" s="163" customFormat="1" ht="16.25" customHeight="1">
      <c r="A100" s="163" t="s">
        <v>234</v>
      </c>
      <c r="B100" s="163" t="s">
        <v>289</v>
      </c>
      <c r="C100" s="185" t="s">
        <v>118</v>
      </c>
      <c r="D100" s="165">
        <v>1</v>
      </c>
      <c r="E100" s="201">
        <f>restaurantoutdoorfreezercostyear</f>
        <v>2014</v>
      </c>
      <c r="F100" s="205">
        <f>D100*restaurantoutdoorfreezerunitcost</f>
        <v>7410</v>
      </c>
      <c r="G100" s="183">
        <v>0</v>
      </c>
      <c r="H100" s="206">
        <f t="shared" si="67"/>
        <v>9108.7819682128575</v>
      </c>
      <c r="I100" s="166">
        <v>2013</v>
      </c>
      <c r="J100" s="166"/>
      <c r="K100" s="177">
        <f>restaurantoutdoorfreezerlife</f>
        <v>10</v>
      </c>
      <c r="L100" s="169" t="s">
        <v>444</v>
      </c>
      <c r="M100" s="168">
        <f t="shared" si="64"/>
        <v>0</v>
      </c>
      <c r="N100" s="168">
        <f t="shared" si="64"/>
        <v>0</v>
      </c>
      <c r="O100" s="168">
        <f t="shared" si="64"/>
        <v>0</v>
      </c>
      <c r="P100" s="168">
        <f t="shared" si="64"/>
        <v>10099</v>
      </c>
      <c r="Q100" s="168">
        <f t="shared" si="64"/>
        <v>0</v>
      </c>
      <c r="R100" s="168">
        <f t="shared" si="64"/>
        <v>0</v>
      </c>
      <c r="S100" s="168">
        <f t="shared" si="64"/>
        <v>0</v>
      </c>
      <c r="T100" s="168">
        <f t="shared" si="64"/>
        <v>0</v>
      </c>
      <c r="U100" s="168">
        <f t="shared" si="64"/>
        <v>0</v>
      </c>
      <c r="V100" s="168">
        <f t="shared" si="64"/>
        <v>0</v>
      </c>
      <c r="W100" s="168">
        <f t="shared" si="65"/>
        <v>0</v>
      </c>
      <c r="X100" s="168">
        <f t="shared" si="65"/>
        <v>0</v>
      </c>
      <c r="Y100" s="168">
        <f t="shared" si="65"/>
        <v>0</v>
      </c>
      <c r="Z100" s="168">
        <f t="shared" si="65"/>
        <v>14246</v>
      </c>
      <c r="AA100" s="168">
        <f t="shared" si="65"/>
        <v>0</v>
      </c>
      <c r="AB100" s="168">
        <f t="shared" si="65"/>
        <v>0</v>
      </c>
      <c r="AC100" s="168">
        <f t="shared" si="65"/>
        <v>0</v>
      </c>
      <c r="AD100" s="168">
        <f t="shared" si="65"/>
        <v>0</v>
      </c>
      <c r="AE100" s="168">
        <f t="shared" si="65"/>
        <v>0</v>
      </c>
      <c r="AF100" s="168">
        <f t="shared" si="65"/>
        <v>0</v>
      </c>
      <c r="AG100" s="168">
        <f t="shared" si="66"/>
        <v>0</v>
      </c>
      <c r="AH100" s="168">
        <f t="shared" si="66"/>
        <v>0</v>
      </c>
      <c r="AI100" s="168">
        <f t="shared" si="66"/>
        <v>0</v>
      </c>
      <c r="AJ100" s="168">
        <f t="shared" si="66"/>
        <v>20095</v>
      </c>
      <c r="AK100" s="168">
        <f t="shared" si="66"/>
        <v>0</v>
      </c>
      <c r="AL100" s="168">
        <f t="shared" si="66"/>
        <v>0</v>
      </c>
      <c r="AM100" s="168">
        <f t="shared" si="66"/>
        <v>0</v>
      </c>
      <c r="AN100" s="168">
        <f t="shared" si="66"/>
        <v>0</v>
      </c>
      <c r="AO100" s="168">
        <f t="shared" si="66"/>
        <v>0</v>
      </c>
      <c r="AP100" s="168">
        <f t="shared" si="66"/>
        <v>0</v>
      </c>
      <c r="AQ100" s="170"/>
      <c r="AR100" s="171">
        <f t="shared" si="68"/>
        <v>44440.000099999997</v>
      </c>
      <c r="AT100" s="166">
        <f t="shared" si="69"/>
        <v>2013</v>
      </c>
      <c r="AU100" s="166">
        <f t="shared" si="70"/>
        <v>0</v>
      </c>
      <c r="AV100" s="166">
        <v>100</v>
      </c>
      <c r="AW100" s="241">
        <f t="shared" si="71"/>
        <v>0</v>
      </c>
      <c r="AX100" s="166">
        <f t="shared" si="72"/>
        <v>0</v>
      </c>
      <c r="AY100" s="166">
        <f t="shared" si="73"/>
        <v>1</v>
      </c>
      <c r="AZ100" s="242">
        <f t="shared" si="74"/>
        <v>0</v>
      </c>
      <c r="BA100" s="234">
        <f t="shared" si="54"/>
        <v>0</v>
      </c>
      <c r="BB100" s="235">
        <f t="shared" si="55"/>
        <v>1</v>
      </c>
      <c r="BC100" s="235">
        <f t="shared" si="56"/>
        <v>0</v>
      </c>
      <c r="BD100" s="236">
        <f t="shared" si="57"/>
        <v>0</v>
      </c>
    </row>
    <row r="101" spans="1:56" s="163" customFormat="1" ht="16.25" customHeight="1">
      <c r="A101" s="163" t="s">
        <v>234</v>
      </c>
      <c r="B101" s="163" t="s">
        <v>289</v>
      </c>
      <c r="C101" s="164" t="s">
        <v>324</v>
      </c>
      <c r="D101" s="165">
        <v>1</v>
      </c>
      <c r="E101" s="177">
        <f>restaurantPOScostyear</f>
        <v>2013</v>
      </c>
      <c r="F101" s="203">
        <f>D101*restaurantPOSunitcost</f>
        <v>19447</v>
      </c>
      <c r="G101" s="167">
        <v>0</v>
      </c>
      <c r="H101" s="206">
        <f t="shared" si="67"/>
        <v>24742.014823021545</v>
      </c>
      <c r="I101" s="166">
        <v>2013</v>
      </c>
      <c r="J101" s="166"/>
      <c r="K101" s="177">
        <f>RestaurantPOSlife</f>
        <v>15</v>
      </c>
      <c r="L101" s="169" t="s">
        <v>444</v>
      </c>
      <c r="M101" s="168">
        <f t="shared" si="64"/>
        <v>0</v>
      </c>
      <c r="N101" s="168">
        <f t="shared" si="64"/>
        <v>0</v>
      </c>
      <c r="O101" s="168">
        <f t="shared" si="64"/>
        <v>0</v>
      </c>
      <c r="P101" s="168">
        <f t="shared" si="64"/>
        <v>0</v>
      </c>
      <c r="Q101" s="168">
        <f t="shared" si="64"/>
        <v>0</v>
      </c>
      <c r="R101" s="168">
        <f t="shared" si="64"/>
        <v>0</v>
      </c>
      <c r="S101" s="168">
        <f t="shared" si="64"/>
        <v>0</v>
      </c>
      <c r="T101" s="168">
        <f t="shared" si="64"/>
        <v>0</v>
      </c>
      <c r="U101" s="168">
        <f t="shared" si="64"/>
        <v>32581</v>
      </c>
      <c r="V101" s="168">
        <f t="shared" si="64"/>
        <v>0</v>
      </c>
      <c r="W101" s="168">
        <f t="shared" si="65"/>
        <v>0</v>
      </c>
      <c r="X101" s="168">
        <f t="shared" si="65"/>
        <v>0</v>
      </c>
      <c r="Y101" s="168">
        <f t="shared" si="65"/>
        <v>0</v>
      </c>
      <c r="Z101" s="168">
        <f t="shared" si="65"/>
        <v>0</v>
      </c>
      <c r="AA101" s="168">
        <f t="shared" si="65"/>
        <v>0</v>
      </c>
      <c r="AB101" s="168">
        <f t="shared" si="65"/>
        <v>0</v>
      </c>
      <c r="AC101" s="168">
        <f t="shared" si="65"/>
        <v>0</v>
      </c>
      <c r="AD101" s="168">
        <f t="shared" si="65"/>
        <v>0</v>
      </c>
      <c r="AE101" s="168">
        <f t="shared" si="65"/>
        <v>0</v>
      </c>
      <c r="AF101" s="168">
        <f t="shared" si="65"/>
        <v>0</v>
      </c>
      <c r="AG101" s="168">
        <f t="shared" si="66"/>
        <v>0</v>
      </c>
      <c r="AH101" s="168">
        <f t="shared" si="66"/>
        <v>0</v>
      </c>
      <c r="AI101" s="168">
        <f t="shared" si="66"/>
        <v>0</v>
      </c>
      <c r="AJ101" s="168">
        <f t="shared" si="66"/>
        <v>54584</v>
      </c>
      <c r="AK101" s="168">
        <f t="shared" si="66"/>
        <v>0</v>
      </c>
      <c r="AL101" s="168">
        <f t="shared" si="66"/>
        <v>0</v>
      </c>
      <c r="AM101" s="168">
        <f t="shared" si="66"/>
        <v>0</v>
      </c>
      <c r="AN101" s="168">
        <f t="shared" si="66"/>
        <v>0</v>
      </c>
      <c r="AO101" s="168">
        <f t="shared" si="66"/>
        <v>0</v>
      </c>
      <c r="AP101" s="168">
        <f t="shared" si="66"/>
        <v>0</v>
      </c>
      <c r="AQ101" s="170"/>
      <c r="AR101" s="171">
        <f t="shared" si="68"/>
        <v>87165.000100000005</v>
      </c>
      <c r="AT101" s="166">
        <f t="shared" si="69"/>
        <v>2013</v>
      </c>
      <c r="AU101" s="166">
        <f t="shared" si="70"/>
        <v>0</v>
      </c>
      <c r="AV101" s="166">
        <v>100</v>
      </c>
      <c r="AW101" s="241">
        <f t="shared" si="71"/>
        <v>0</v>
      </c>
      <c r="AX101" s="166">
        <f t="shared" si="72"/>
        <v>0</v>
      </c>
      <c r="AY101" s="166">
        <f t="shared" si="73"/>
        <v>1</v>
      </c>
      <c r="AZ101" s="242">
        <f t="shared" si="74"/>
        <v>0</v>
      </c>
      <c r="BA101" s="234">
        <f t="shared" si="54"/>
        <v>0</v>
      </c>
      <c r="BB101" s="235">
        <f t="shared" si="55"/>
        <v>1</v>
      </c>
      <c r="BC101" s="235">
        <f t="shared" si="56"/>
        <v>0</v>
      </c>
      <c r="BD101" s="236">
        <f t="shared" si="57"/>
        <v>0</v>
      </c>
    </row>
    <row r="102" spans="1:56" s="163" customFormat="1" ht="16.25" customHeight="1">
      <c r="A102" s="163" t="s">
        <v>234</v>
      </c>
      <c r="B102" s="163" t="s">
        <v>289</v>
      </c>
      <c r="C102" s="180" t="s">
        <v>184</v>
      </c>
      <c r="D102" s="165">
        <v>1</v>
      </c>
      <c r="E102" s="200">
        <f>StorageTankRendezvousCostYEar</f>
        <v>2012</v>
      </c>
      <c r="F102" s="204">
        <f>D102*StorageTankRendezvousUnitCost</f>
        <v>15000</v>
      </c>
      <c r="G102" s="181">
        <v>0</v>
      </c>
      <c r="H102" s="206">
        <f t="shared" si="67"/>
        <v>19752.135554451044</v>
      </c>
      <c r="I102" s="166">
        <v>2012</v>
      </c>
      <c r="J102" s="184">
        <v>0</v>
      </c>
      <c r="K102" s="207">
        <f>StorageTankRendezvousLife</f>
        <v>10</v>
      </c>
      <c r="L102" s="169" t="s">
        <v>444</v>
      </c>
      <c r="M102" s="168">
        <f t="shared" si="64"/>
        <v>0</v>
      </c>
      <c r="N102" s="168">
        <f t="shared" si="64"/>
        <v>0</v>
      </c>
      <c r="O102" s="168">
        <f t="shared" si="64"/>
        <v>21159</v>
      </c>
      <c r="P102" s="168">
        <f t="shared" si="64"/>
        <v>0</v>
      </c>
      <c r="Q102" s="168">
        <f t="shared" si="64"/>
        <v>0</v>
      </c>
      <c r="R102" s="168">
        <f t="shared" si="64"/>
        <v>0</v>
      </c>
      <c r="S102" s="168">
        <f t="shared" si="64"/>
        <v>0</v>
      </c>
      <c r="T102" s="168">
        <f t="shared" si="64"/>
        <v>0</v>
      </c>
      <c r="U102" s="168">
        <f t="shared" si="64"/>
        <v>0</v>
      </c>
      <c r="V102" s="168">
        <f t="shared" si="64"/>
        <v>0</v>
      </c>
      <c r="W102" s="168">
        <f t="shared" si="65"/>
        <v>0</v>
      </c>
      <c r="X102" s="168">
        <f t="shared" si="65"/>
        <v>0</v>
      </c>
      <c r="Y102" s="168">
        <f t="shared" si="65"/>
        <v>29847</v>
      </c>
      <c r="Z102" s="168">
        <f t="shared" si="65"/>
        <v>0</v>
      </c>
      <c r="AA102" s="168">
        <f t="shared" si="65"/>
        <v>0</v>
      </c>
      <c r="AB102" s="168">
        <f t="shared" si="65"/>
        <v>0</v>
      </c>
      <c r="AC102" s="168">
        <f t="shared" si="65"/>
        <v>0</v>
      </c>
      <c r="AD102" s="168">
        <f t="shared" si="65"/>
        <v>0</v>
      </c>
      <c r="AE102" s="168">
        <f t="shared" si="65"/>
        <v>0</v>
      </c>
      <c r="AF102" s="168">
        <f t="shared" si="65"/>
        <v>0</v>
      </c>
      <c r="AG102" s="168">
        <f t="shared" si="66"/>
        <v>0</v>
      </c>
      <c r="AH102" s="168">
        <f t="shared" si="66"/>
        <v>0</v>
      </c>
      <c r="AI102" s="168">
        <f t="shared" si="66"/>
        <v>42102</v>
      </c>
      <c r="AJ102" s="168">
        <f t="shared" si="66"/>
        <v>0</v>
      </c>
      <c r="AK102" s="168">
        <f t="shared" si="66"/>
        <v>0</v>
      </c>
      <c r="AL102" s="168">
        <f t="shared" si="66"/>
        <v>0</v>
      </c>
      <c r="AM102" s="168">
        <f t="shared" si="66"/>
        <v>0</v>
      </c>
      <c r="AN102" s="168">
        <f t="shared" si="66"/>
        <v>0</v>
      </c>
      <c r="AO102" s="168">
        <f t="shared" si="66"/>
        <v>0</v>
      </c>
      <c r="AP102" s="168">
        <f t="shared" si="66"/>
        <v>0</v>
      </c>
      <c r="AQ102" s="170"/>
      <c r="AR102" s="171">
        <f t="shared" si="68"/>
        <v>93108.000100000005</v>
      </c>
      <c r="AT102" s="166">
        <f t="shared" si="69"/>
        <v>2012</v>
      </c>
      <c r="AU102" s="166">
        <f t="shared" si="70"/>
        <v>0</v>
      </c>
      <c r="AV102" s="166">
        <v>100</v>
      </c>
      <c r="AW102" s="241">
        <f t="shared" si="71"/>
        <v>0</v>
      </c>
      <c r="AX102" s="166">
        <f t="shared" si="72"/>
        <v>0</v>
      </c>
      <c r="AY102" s="166">
        <f t="shared" si="73"/>
        <v>1</v>
      </c>
      <c r="AZ102" s="242">
        <f t="shared" si="74"/>
        <v>0</v>
      </c>
      <c r="BA102" s="234">
        <f t="shared" si="54"/>
        <v>0</v>
      </c>
      <c r="BB102" s="235">
        <f t="shared" si="55"/>
        <v>1</v>
      </c>
      <c r="BC102" s="235">
        <f t="shared" si="56"/>
        <v>0</v>
      </c>
      <c r="BD102" s="236">
        <f t="shared" si="57"/>
        <v>0</v>
      </c>
    </row>
    <row r="103" spans="1:56" s="163" customFormat="1" ht="16.25" customHeight="1">
      <c r="A103" s="163" t="s">
        <v>285</v>
      </c>
      <c r="B103" s="163" t="s">
        <v>289</v>
      </c>
      <c r="C103" s="164" t="s">
        <v>321</v>
      </c>
      <c r="D103" s="166">
        <v>2</v>
      </c>
      <c r="E103" s="177">
        <f>convectionovencostyear</f>
        <v>2019</v>
      </c>
      <c r="F103" s="203">
        <f>D103*covectionovenunitcost</f>
        <v>19000</v>
      </c>
      <c r="G103" s="167">
        <v>0</v>
      </c>
      <c r="H103" s="206">
        <f t="shared" si="67"/>
        <v>19665</v>
      </c>
      <c r="I103" s="166">
        <v>2012</v>
      </c>
      <c r="J103" s="166"/>
      <c r="K103" s="177">
        <f>convectionovenlife</f>
        <v>10</v>
      </c>
      <c r="L103" s="169" t="s">
        <v>444</v>
      </c>
      <c r="M103" s="168">
        <f t="shared" si="64"/>
        <v>0</v>
      </c>
      <c r="N103" s="168">
        <f t="shared" si="64"/>
        <v>0</v>
      </c>
      <c r="O103" s="168">
        <f t="shared" si="64"/>
        <v>21066</v>
      </c>
      <c r="P103" s="168">
        <f t="shared" si="64"/>
        <v>0</v>
      </c>
      <c r="Q103" s="168">
        <f t="shared" si="64"/>
        <v>0</v>
      </c>
      <c r="R103" s="168">
        <f t="shared" si="64"/>
        <v>0</v>
      </c>
      <c r="S103" s="168">
        <f t="shared" si="64"/>
        <v>0</v>
      </c>
      <c r="T103" s="168">
        <f t="shared" si="64"/>
        <v>0</v>
      </c>
      <c r="U103" s="168">
        <f t="shared" si="64"/>
        <v>0</v>
      </c>
      <c r="V103" s="168">
        <f t="shared" si="64"/>
        <v>0</v>
      </c>
      <c r="W103" s="168">
        <f t="shared" si="65"/>
        <v>0</v>
      </c>
      <c r="X103" s="168">
        <f t="shared" si="65"/>
        <v>0</v>
      </c>
      <c r="Y103" s="168">
        <f t="shared" si="65"/>
        <v>29715</v>
      </c>
      <c r="Z103" s="168">
        <f t="shared" si="65"/>
        <v>0</v>
      </c>
      <c r="AA103" s="168">
        <f t="shared" si="65"/>
        <v>0</v>
      </c>
      <c r="AB103" s="168">
        <f t="shared" si="65"/>
        <v>0</v>
      </c>
      <c r="AC103" s="168">
        <f t="shared" si="65"/>
        <v>0</v>
      </c>
      <c r="AD103" s="168">
        <f t="shared" si="65"/>
        <v>0</v>
      </c>
      <c r="AE103" s="168">
        <f t="shared" si="65"/>
        <v>0</v>
      </c>
      <c r="AF103" s="168">
        <f t="shared" si="65"/>
        <v>0</v>
      </c>
      <c r="AG103" s="168">
        <f t="shared" si="66"/>
        <v>0</v>
      </c>
      <c r="AH103" s="168">
        <f t="shared" si="66"/>
        <v>0</v>
      </c>
      <c r="AI103" s="168">
        <f t="shared" si="66"/>
        <v>41916</v>
      </c>
      <c r="AJ103" s="168">
        <f t="shared" si="66"/>
        <v>0</v>
      </c>
      <c r="AK103" s="168">
        <f t="shared" si="66"/>
        <v>0</v>
      </c>
      <c r="AL103" s="168">
        <f t="shared" si="66"/>
        <v>0</v>
      </c>
      <c r="AM103" s="168">
        <f t="shared" si="66"/>
        <v>0</v>
      </c>
      <c r="AN103" s="168">
        <f t="shared" si="66"/>
        <v>0</v>
      </c>
      <c r="AO103" s="168">
        <f t="shared" si="66"/>
        <v>0</v>
      </c>
      <c r="AP103" s="168">
        <f t="shared" si="66"/>
        <v>0</v>
      </c>
      <c r="AQ103" s="170"/>
      <c r="AR103" s="171">
        <f t="shared" si="68"/>
        <v>92697.000100000005</v>
      </c>
      <c r="AT103" s="166">
        <f t="shared" si="69"/>
        <v>2012</v>
      </c>
      <c r="AU103" s="166">
        <f t="shared" si="70"/>
        <v>0</v>
      </c>
      <c r="AV103" s="166">
        <v>100</v>
      </c>
      <c r="AW103" s="241">
        <f t="shared" si="71"/>
        <v>0</v>
      </c>
      <c r="AX103" s="166">
        <f t="shared" si="72"/>
        <v>0</v>
      </c>
      <c r="AY103" s="166">
        <f t="shared" si="73"/>
        <v>1</v>
      </c>
      <c r="AZ103" s="242">
        <f t="shared" si="74"/>
        <v>0</v>
      </c>
      <c r="BA103" s="234">
        <f t="shared" si="54"/>
        <v>0</v>
      </c>
      <c r="BB103" s="235">
        <f t="shared" si="55"/>
        <v>0</v>
      </c>
      <c r="BC103" s="235">
        <f t="shared" si="56"/>
        <v>0</v>
      </c>
      <c r="BD103" s="236">
        <f t="shared" si="57"/>
        <v>0</v>
      </c>
    </row>
    <row r="104" spans="1:56" s="163" customFormat="1" ht="16.25" customHeight="1">
      <c r="A104" s="163" t="s">
        <v>232</v>
      </c>
      <c r="B104" s="163" t="s">
        <v>292</v>
      </c>
      <c r="C104" s="164" t="s">
        <v>26</v>
      </c>
      <c r="D104" s="165">
        <v>1</v>
      </c>
      <c r="E104" s="177">
        <f>'HGMD Unit Costs'!C4</f>
        <v>2019</v>
      </c>
      <c r="F104" s="206">
        <f>D104*'HGMD Unit Costs'!D4</f>
        <v>5842</v>
      </c>
      <c r="G104" s="168">
        <v>0</v>
      </c>
      <c r="H104" s="206">
        <f t="shared" si="67"/>
        <v>6046.4699999999993</v>
      </c>
      <c r="I104" s="166">
        <v>1989</v>
      </c>
      <c r="J104" s="166">
        <v>5</v>
      </c>
      <c r="K104" s="177">
        <f>'HGMD Unit Costs'!E4</f>
        <v>33</v>
      </c>
      <c r="L104" s="169"/>
      <c r="M104" s="168">
        <f t="shared" si="64"/>
        <v>0</v>
      </c>
      <c r="N104" s="168">
        <f t="shared" si="64"/>
        <v>0</v>
      </c>
      <c r="O104" s="168">
        <f t="shared" si="64"/>
        <v>0</v>
      </c>
      <c r="P104" s="168">
        <f t="shared" si="64"/>
        <v>0</v>
      </c>
      <c r="Q104" s="168">
        <f t="shared" si="64"/>
        <v>0</v>
      </c>
      <c r="R104" s="168">
        <f t="shared" si="64"/>
        <v>0</v>
      </c>
      <c r="S104" s="168">
        <f t="shared" si="64"/>
        <v>0</v>
      </c>
      <c r="T104" s="168">
        <f t="shared" si="64"/>
        <v>7693</v>
      </c>
      <c r="U104" s="168">
        <f t="shared" si="64"/>
        <v>0</v>
      </c>
      <c r="V104" s="168">
        <f t="shared" si="64"/>
        <v>0</v>
      </c>
      <c r="W104" s="168">
        <f t="shared" si="65"/>
        <v>0</v>
      </c>
      <c r="X104" s="168">
        <f t="shared" si="65"/>
        <v>0</v>
      </c>
      <c r="Y104" s="168">
        <f t="shared" si="65"/>
        <v>0</v>
      </c>
      <c r="Z104" s="168">
        <f t="shared" si="65"/>
        <v>0</v>
      </c>
      <c r="AA104" s="168">
        <f t="shared" si="65"/>
        <v>0</v>
      </c>
      <c r="AB104" s="168">
        <f t="shared" si="65"/>
        <v>0</v>
      </c>
      <c r="AC104" s="168">
        <f t="shared" si="65"/>
        <v>0</v>
      </c>
      <c r="AD104" s="168">
        <f t="shared" si="65"/>
        <v>0</v>
      </c>
      <c r="AE104" s="168">
        <f t="shared" si="65"/>
        <v>0</v>
      </c>
      <c r="AF104" s="168">
        <f t="shared" si="65"/>
        <v>0</v>
      </c>
      <c r="AG104" s="168">
        <f t="shared" si="66"/>
        <v>0</v>
      </c>
      <c r="AH104" s="168">
        <f t="shared" si="66"/>
        <v>0</v>
      </c>
      <c r="AI104" s="168">
        <f t="shared" si="66"/>
        <v>0</v>
      </c>
      <c r="AJ104" s="168">
        <f t="shared" si="66"/>
        <v>0</v>
      </c>
      <c r="AK104" s="168">
        <f t="shared" si="66"/>
        <v>0</v>
      </c>
      <c r="AL104" s="168">
        <f t="shared" si="66"/>
        <v>0</v>
      </c>
      <c r="AM104" s="168">
        <f t="shared" si="66"/>
        <v>0</v>
      </c>
      <c r="AN104" s="168">
        <f t="shared" si="66"/>
        <v>0</v>
      </c>
      <c r="AO104" s="168">
        <f t="shared" si="66"/>
        <v>0</v>
      </c>
      <c r="AP104" s="168">
        <f t="shared" si="66"/>
        <v>0</v>
      </c>
      <c r="AQ104" s="170"/>
      <c r="AR104" s="171">
        <f t="shared" si="68"/>
        <v>7693.0001000000002</v>
      </c>
      <c r="AT104" s="166">
        <f t="shared" si="69"/>
        <v>1989</v>
      </c>
      <c r="AU104" s="166">
        <f t="shared" si="70"/>
        <v>5</v>
      </c>
      <c r="AV104" s="166">
        <v>100</v>
      </c>
      <c r="AW104" s="241">
        <f t="shared" si="71"/>
        <v>0</v>
      </c>
      <c r="AX104" s="166">
        <f t="shared" si="72"/>
        <v>0</v>
      </c>
      <c r="AY104" s="166">
        <f t="shared" si="73"/>
        <v>0</v>
      </c>
      <c r="AZ104" s="242">
        <f t="shared" si="74"/>
        <v>0</v>
      </c>
      <c r="BA104" s="234">
        <f t="shared" si="54"/>
        <v>0</v>
      </c>
      <c r="BB104" s="235">
        <f t="shared" si="55"/>
        <v>0</v>
      </c>
      <c r="BC104" s="235">
        <f t="shared" si="56"/>
        <v>1</v>
      </c>
      <c r="BD104" s="236">
        <f t="shared" si="57"/>
        <v>0</v>
      </c>
    </row>
    <row r="105" spans="1:56" s="163" customFormat="1" ht="16.25" customHeight="1">
      <c r="A105" s="163" t="s">
        <v>232</v>
      </c>
      <c r="B105" s="163" t="s">
        <v>292</v>
      </c>
      <c r="C105" s="163" t="s">
        <v>381</v>
      </c>
      <c r="D105" s="176">
        <v>4197</v>
      </c>
      <c r="E105" s="177">
        <f>'HGMD Unit Costs'!C177</f>
        <v>2019</v>
      </c>
      <c r="F105" s="203">
        <f>D105*'HGMD Unit Costs'!D177</f>
        <v>83940</v>
      </c>
      <c r="G105" s="167"/>
      <c r="H105" s="206">
        <f t="shared" si="67"/>
        <v>86877.9</v>
      </c>
      <c r="I105" s="166">
        <v>2011</v>
      </c>
      <c r="J105" s="166"/>
      <c r="K105" s="177">
        <f>'HGMD Unit Costs'!E177</f>
        <v>30</v>
      </c>
      <c r="L105" s="169"/>
      <c r="M105" s="168">
        <f t="shared" si="64"/>
        <v>0</v>
      </c>
      <c r="N105" s="168">
        <f t="shared" si="64"/>
        <v>0</v>
      </c>
      <c r="O105" s="168">
        <f t="shared" si="64"/>
        <v>0</v>
      </c>
      <c r="P105" s="168">
        <f t="shared" si="64"/>
        <v>0</v>
      </c>
      <c r="Q105" s="168">
        <f t="shared" si="64"/>
        <v>0</v>
      </c>
      <c r="R105" s="168">
        <f t="shared" si="64"/>
        <v>0</v>
      </c>
      <c r="S105" s="168">
        <f t="shared" si="64"/>
        <v>0</v>
      </c>
      <c r="T105" s="168">
        <f t="shared" si="64"/>
        <v>0</v>
      </c>
      <c r="U105" s="168">
        <f t="shared" si="64"/>
        <v>0</v>
      </c>
      <c r="V105" s="168">
        <f t="shared" si="64"/>
        <v>0</v>
      </c>
      <c r="W105" s="168">
        <f t="shared" si="65"/>
        <v>0</v>
      </c>
      <c r="X105" s="168">
        <f t="shared" si="65"/>
        <v>0</v>
      </c>
      <c r="Y105" s="168">
        <f t="shared" si="65"/>
        <v>0</v>
      </c>
      <c r="Z105" s="168">
        <f t="shared" si="65"/>
        <v>0</v>
      </c>
      <c r="AA105" s="168">
        <f t="shared" si="65"/>
        <v>0</v>
      </c>
      <c r="AB105" s="168">
        <f t="shared" si="65"/>
        <v>0</v>
      </c>
      <c r="AC105" s="168">
        <f t="shared" si="65"/>
        <v>0</v>
      </c>
      <c r="AD105" s="168">
        <f t="shared" si="65"/>
        <v>0</v>
      </c>
      <c r="AE105" s="168">
        <f t="shared" si="65"/>
        <v>0</v>
      </c>
      <c r="AF105" s="168">
        <f t="shared" si="65"/>
        <v>0</v>
      </c>
      <c r="AG105" s="168">
        <f t="shared" si="66"/>
        <v>0</v>
      </c>
      <c r="AH105" s="168">
        <f t="shared" si="66"/>
        <v>178919</v>
      </c>
      <c r="AI105" s="168">
        <f t="shared" si="66"/>
        <v>0</v>
      </c>
      <c r="AJ105" s="168">
        <f t="shared" si="66"/>
        <v>0</v>
      </c>
      <c r="AK105" s="168">
        <f t="shared" si="66"/>
        <v>0</v>
      </c>
      <c r="AL105" s="168">
        <f t="shared" si="66"/>
        <v>0</v>
      </c>
      <c r="AM105" s="168">
        <f t="shared" si="66"/>
        <v>0</v>
      </c>
      <c r="AN105" s="168">
        <f t="shared" si="66"/>
        <v>0</v>
      </c>
      <c r="AO105" s="168">
        <f t="shared" si="66"/>
        <v>0</v>
      </c>
      <c r="AP105" s="168">
        <f t="shared" si="66"/>
        <v>0</v>
      </c>
      <c r="AQ105" s="170"/>
      <c r="AR105" s="171">
        <f t="shared" ref="AR105:AR114" si="75">SUM(L105:AQ105)+0.0001</f>
        <v>178919.0001</v>
      </c>
      <c r="AT105" s="166">
        <f t="shared" ref="AT105:AT114" si="76">I105</f>
        <v>2011</v>
      </c>
      <c r="AU105" s="166">
        <f t="shared" ref="AU105:AU114" si="77">J105</f>
        <v>0</v>
      </c>
      <c r="AV105" s="166">
        <v>100</v>
      </c>
      <c r="AW105" s="241">
        <f t="shared" si="71"/>
        <v>0</v>
      </c>
      <c r="AX105" s="166">
        <f t="shared" si="72"/>
        <v>0</v>
      </c>
      <c r="AY105" s="166">
        <f t="shared" si="73"/>
        <v>0</v>
      </c>
      <c r="AZ105" s="242">
        <f t="shared" si="74"/>
        <v>0</v>
      </c>
      <c r="BA105" s="234">
        <f t="shared" si="54"/>
        <v>0</v>
      </c>
      <c r="BB105" s="235">
        <f t="shared" si="55"/>
        <v>0</v>
      </c>
      <c r="BC105" s="235">
        <f t="shared" si="56"/>
        <v>1</v>
      </c>
      <c r="BD105" s="236">
        <f t="shared" si="57"/>
        <v>0</v>
      </c>
    </row>
    <row r="106" spans="1:56" s="163" customFormat="1" ht="16.25" customHeight="1">
      <c r="A106" s="163" t="s">
        <v>232</v>
      </c>
      <c r="B106" s="163" t="s">
        <v>292</v>
      </c>
      <c r="C106" s="163" t="s">
        <v>382</v>
      </c>
      <c r="D106" s="176">
        <v>1945</v>
      </c>
      <c r="E106" s="177">
        <f>'HGMD Unit Costs'!C177</f>
        <v>2019</v>
      </c>
      <c r="F106" s="203">
        <f>D106*'HGMD Unit Costs'!D177</f>
        <v>38900</v>
      </c>
      <c r="G106" s="167"/>
      <c r="H106" s="206">
        <f t="shared" si="67"/>
        <v>40261.5</v>
      </c>
      <c r="I106" s="166">
        <v>2016</v>
      </c>
      <c r="J106" s="166"/>
      <c r="K106" s="177">
        <f>'HGMD Unit Costs'!E177</f>
        <v>30</v>
      </c>
      <c r="L106" s="169"/>
      <c r="M106" s="168">
        <f t="shared" si="64"/>
        <v>0</v>
      </c>
      <c r="N106" s="168">
        <f t="shared" si="64"/>
        <v>0</v>
      </c>
      <c r="O106" s="168">
        <f t="shared" si="64"/>
        <v>0</v>
      </c>
      <c r="P106" s="168">
        <f t="shared" si="64"/>
        <v>0</v>
      </c>
      <c r="Q106" s="168">
        <f t="shared" si="64"/>
        <v>0</v>
      </c>
      <c r="R106" s="168">
        <f t="shared" si="64"/>
        <v>0</v>
      </c>
      <c r="S106" s="168">
        <f t="shared" si="64"/>
        <v>0</v>
      </c>
      <c r="T106" s="168">
        <f t="shared" si="64"/>
        <v>0</v>
      </c>
      <c r="U106" s="168">
        <f t="shared" si="64"/>
        <v>0</v>
      </c>
      <c r="V106" s="168">
        <f t="shared" si="64"/>
        <v>0</v>
      </c>
      <c r="W106" s="168">
        <f t="shared" si="65"/>
        <v>0</v>
      </c>
      <c r="X106" s="168">
        <f t="shared" si="65"/>
        <v>0</v>
      </c>
      <c r="Y106" s="168">
        <f t="shared" si="65"/>
        <v>0</v>
      </c>
      <c r="Z106" s="168">
        <f t="shared" si="65"/>
        <v>0</v>
      </c>
      <c r="AA106" s="168">
        <f t="shared" si="65"/>
        <v>0</v>
      </c>
      <c r="AB106" s="168">
        <f t="shared" si="65"/>
        <v>0</v>
      </c>
      <c r="AC106" s="168">
        <f t="shared" si="65"/>
        <v>0</v>
      </c>
      <c r="AD106" s="168">
        <f t="shared" si="65"/>
        <v>0</v>
      </c>
      <c r="AE106" s="168">
        <f t="shared" si="65"/>
        <v>0</v>
      </c>
      <c r="AF106" s="168">
        <f t="shared" si="65"/>
        <v>0</v>
      </c>
      <c r="AG106" s="168">
        <f t="shared" si="66"/>
        <v>0</v>
      </c>
      <c r="AH106" s="168">
        <f t="shared" si="66"/>
        <v>0</v>
      </c>
      <c r="AI106" s="168">
        <f t="shared" si="66"/>
        <v>0</v>
      </c>
      <c r="AJ106" s="168">
        <f t="shared" si="66"/>
        <v>0</v>
      </c>
      <c r="AK106" s="168">
        <f t="shared" si="66"/>
        <v>0</v>
      </c>
      <c r="AL106" s="168">
        <f t="shared" si="66"/>
        <v>0</v>
      </c>
      <c r="AM106" s="168">
        <f t="shared" si="66"/>
        <v>98478</v>
      </c>
      <c r="AN106" s="168">
        <f t="shared" si="66"/>
        <v>0</v>
      </c>
      <c r="AO106" s="168">
        <f t="shared" si="66"/>
        <v>0</v>
      </c>
      <c r="AP106" s="168">
        <f t="shared" si="66"/>
        <v>0</v>
      </c>
      <c r="AQ106" s="170"/>
      <c r="AR106" s="171">
        <f t="shared" si="75"/>
        <v>98478.000100000005</v>
      </c>
      <c r="AT106" s="166">
        <f t="shared" si="76"/>
        <v>2016</v>
      </c>
      <c r="AU106" s="166">
        <f t="shared" si="77"/>
        <v>0</v>
      </c>
      <c r="AV106" s="166">
        <v>100</v>
      </c>
      <c r="AW106" s="241">
        <f t="shared" si="71"/>
        <v>0</v>
      </c>
      <c r="AX106" s="166">
        <f t="shared" si="72"/>
        <v>0</v>
      </c>
      <c r="AY106" s="166">
        <f t="shared" si="73"/>
        <v>0</v>
      </c>
      <c r="AZ106" s="242">
        <f t="shared" si="74"/>
        <v>0</v>
      </c>
      <c r="BA106" s="234">
        <f t="shared" si="54"/>
        <v>0</v>
      </c>
      <c r="BB106" s="235">
        <f t="shared" si="55"/>
        <v>0</v>
      </c>
      <c r="BC106" s="235">
        <f t="shared" si="56"/>
        <v>1</v>
      </c>
      <c r="BD106" s="236">
        <f t="shared" si="57"/>
        <v>0</v>
      </c>
    </row>
    <row r="107" spans="1:56" s="163" customFormat="1" ht="16.25" customHeight="1">
      <c r="A107" s="163" t="s">
        <v>232</v>
      </c>
      <c r="B107" s="163" t="s">
        <v>292</v>
      </c>
      <c r="C107" s="163" t="s">
        <v>380</v>
      </c>
      <c r="D107" s="176">
        <v>331</v>
      </c>
      <c r="E107" s="177">
        <f>'HGMD Unit Costs'!C177</f>
        <v>2019</v>
      </c>
      <c r="F107" s="203">
        <f>D107*'HGMD Unit Costs'!D177</f>
        <v>6620</v>
      </c>
      <c r="G107" s="167"/>
      <c r="H107" s="206">
        <f t="shared" si="67"/>
        <v>6851.7</v>
      </c>
      <c r="I107" s="166">
        <v>2006</v>
      </c>
      <c r="J107" s="166"/>
      <c r="K107" s="177">
        <f>'HGMD Unit Costs'!E177</f>
        <v>30</v>
      </c>
      <c r="L107" s="169"/>
      <c r="M107" s="168">
        <f t="shared" si="64"/>
        <v>0</v>
      </c>
      <c r="N107" s="168">
        <f t="shared" si="64"/>
        <v>0</v>
      </c>
      <c r="O107" s="168">
        <f t="shared" si="64"/>
        <v>0</v>
      </c>
      <c r="P107" s="168">
        <f t="shared" si="64"/>
        <v>0</v>
      </c>
      <c r="Q107" s="168">
        <f t="shared" si="64"/>
        <v>0</v>
      </c>
      <c r="R107" s="168">
        <f t="shared" si="64"/>
        <v>0</v>
      </c>
      <c r="S107" s="168">
        <f t="shared" si="64"/>
        <v>0</v>
      </c>
      <c r="T107" s="168">
        <f t="shared" si="64"/>
        <v>0</v>
      </c>
      <c r="U107" s="168">
        <f t="shared" si="64"/>
        <v>0</v>
      </c>
      <c r="V107" s="168">
        <f t="shared" si="64"/>
        <v>0</v>
      </c>
      <c r="W107" s="168">
        <f t="shared" si="65"/>
        <v>0</v>
      </c>
      <c r="X107" s="168">
        <f t="shared" si="65"/>
        <v>0</v>
      </c>
      <c r="Y107" s="168">
        <f t="shared" si="65"/>
        <v>0</v>
      </c>
      <c r="Z107" s="168">
        <f t="shared" si="65"/>
        <v>0</v>
      </c>
      <c r="AA107" s="168">
        <f t="shared" si="65"/>
        <v>0</v>
      </c>
      <c r="AB107" s="168">
        <f t="shared" si="65"/>
        <v>0</v>
      </c>
      <c r="AC107" s="168">
        <f t="shared" si="65"/>
        <v>11881</v>
      </c>
      <c r="AD107" s="168">
        <f t="shared" si="65"/>
        <v>0</v>
      </c>
      <c r="AE107" s="168">
        <f t="shared" si="65"/>
        <v>0</v>
      </c>
      <c r="AF107" s="168">
        <f t="shared" si="65"/>
        <v>0</v>
      </c>
      <c r="AG107" s="168">
        <f t="shared" si="66"/>
        <v>0</v>
      </c>
      <c r="AH107" s="168">
        <f t="shared" si="66"/>
        <v>0</v>
      </c>
      <c r="AI107" s="168">
        <f t="shared" si="66"/>
        <v>0</v>
      </c>
      <c r="AJ107" s="168">
        <f t="shared" si="66"/>
        <v>0</v>
      </c>
      <c r="AK107" s="168">
        <f t="shared" si="66"/>
        <v>0</v>
      </c>
      <c r="AL107" s="168">
        <f t="shared" si="66"/>
        <v>0</v>
      </c>
      <c r="AM107" s="168">
        <f t="shared" si="66"/>
        <v>0</v>
      </c>
      <c r="AN107" s="168">
        <f t="shared" si="66"/>
        <v>0</v>
      </c>
      <c r="AO107" s="168">
        <f t="shared" si="66"/>
        <v>0</v>
      </c>
      <c r="AP107" s="168">
        <f t="shared" si="66"/>
        <v>0</v>
      </c>
      <c r="AQ107" s="170"/>
      <c r="AR107" s="171">
        <f t="shared" si="75"/>
        <v>11881.000099999999</v>
      </c>
      <c r="AT107" s="166">
        <f t="shared" si="76"/>
        <v>2006</v>
      </c>
      <c r="AU107" s="166">
        <f t="shared" si="77"/>
        <v>0</v>
      </c>
      <c r="AV107" s="166">
        <v>100</v>
      </c>
      <c r="AW107" s="241">
        <f t="shared" si="71"/>
        <v>0</v>
      </c>
      <c r="AX107" s="166">
        <f t="shared" si="72"/>
        <v>0</v>
      </c>
      <c r="AY107" s="166">
        <f t="shared" si="73"/>
        <v>0</v>
      </c>
      <c r="AZ107" s="242">
        <f t="shared" si="74"/>
        <v>0</v>
      </c>
      <c r="BA107" s="234">
        <f t="shared" si="54"/>
        <v>0</v>
      </c>
      <c r="BB107" s="235">
        <f t="shared" si="55"/>
        <v>0</v>
      </c>
      <c r="BC107" s="235">
        <f t="shared" si="56"/>
        <v>1</v>
      </c>
      <c r="BD107" s="236">
        <f t="shared" si="57"/>
        <v>0</v>
      </c>
    </row>
    <row r="108" spans="1:56" s="163" customFormat="1" ht="16.25" customHeight="1">
      <c r="A108" s="163" t="s">
        <v>232</v>
      </c>
      <c r="B108" s="163" t="s">
        <v>292</v>
      </c>
      <c r="C108" s="163" t="s">
        <v>383</v>
      </c>
      <c r="D108" s="176">
        <v>751</v>
      </c>
      <c r="E108" s="177">
        <f>'HGMD Unit Costs'!C176</f>
        <v>2019</v>
      </c>
      <c r="F108" s="203">
        <f>D108*'HGMD Unit Costs'!D176</f>
        <v>22530</v>
      </c>
      <c r="G108" s="167"/>
      <c r="H108" s="206">
        <f t="shared" si="67"/>
        <v>23318.55</v>
      </c>
      <c r="I108" s="166">
        <v>2012</v>
      </c>
      <c r="J108" s="166"/>
      <c r="K108" s="177">
        <f>'HGMD Unit Costs'!E176</f>
        <v>30</v>
      </c>
      <c r="L108" s="169"/>
      <c r="M108" s="168">
        <f t="shared" ref="M108:AB114" si="78">ROUND($H108*IF(AND(M$1&gt;=($I108+$J108),MOD(M$1-($I108+$J108),$K108)=0),(1+InflationRate)^(M$1-AnalysisYear),0),0)*IF(AND(M$1&gt;=($AT108+$AU108),(M$1-($AT108+$AU108))&lt;&gt;0,MOD(M$1-($AT108+$AU108),$AV108)=0),0,1)</f>
        <v>0</v>
      </c>
      <c r="N108" s="168">
        <f t="shared" si="78"/>
        <v>0</v>
      </c>
      <c r="O108" s="168">
        <f t="shared" si="78"/>
        <v>0</v>
      </c>
      <c r="P108" s="168">
        <f t="shared" si="78"/>
        <v>0</v>
      </c>
      <c r="Q108" s="168">
        <f t="shared" si="78"/>
        <v>0</v>
      </c>
      <c r="R108" s="168">
        <f t="shared" si="78"/>
        <v>0</v>
      </c>
      <c r="S108" s="168">
        <f t="shared" si="78"/>
        <v>0</v>
      </c>
      <c r="T108" s="168">
        <f t="shared" si="78"/>
        <v>0</v>
      </c>
      <c r="U108" s="168">
        <f t="shared" si="78"/>
        <v>0</v>
      </c>
      <c r="V108" s="168">
        <f t="shared" si="78"/>
        <v>0</v>
      </c>
      <c r="W108" s="168">
        <f t="shared" si="78"/>
        <v>0</v>
      </c>
      <c r="X108" s="168">
        <f t="shared" si="78"/>
        <v>0</v>
      </c>
      <c r="Y108" s="168">
        <f t="shared" si="78"/>
        <v>0</v>
      </c>
      <c r="Z108" s="168">
        <f t="shared" si="78"/>
        <v>0</v>
      </c>
      <c r="AA108" s="168">
        <f t="shared" si="78"/>
        <v>0</v>
      </c>
      <c r="AB108" s="168">
        <f t="shared" si="78"/>
        <v>0</v>
      </c>
      <c r="AC108" s="168">
        <f t="shared" ref="AC108:AP114" si="79">ROUND($H108*IF(AND(AC$1&gt;=($I108+$J108),MOD(AC$1-($I108+$J108),$K108)=0),(1+InflationRate)^(AC$1-AnalysisYear),0),0)*IF(AND(AC$1&gt;=($AT108+$AU108),(AC$1-($AT108+$AU108))&lt;&gt;0,MOD(AC$1-($AT108+$AU108),$AV108)=0),0,1)</f>
        <v>0</v>
      </c>
      <c r="AD108" s="168">
        <f t="shared" si="79"/>
        <v>0</v>
      </c>
      <c r="AE108" s="168">
        <f t="shared" si="79"/>
        <v>0</v>
      </c>
      <c r="AF108" s="168">
        <f t="shared" si="79"/>
        <v>0</v>
      </c>
      <c r="AG108" s="168">
        <f t="shared" si="79"/>
        <v>0</v>
      </c>
      <c r="AH108" s="168">
        <f t="shared" si="79"/>
        <v>0</v>
      </c>
      <c r="AI108" s="168">
        <f t="shared" si="79"/>
        <v>49704</v>
      </c>
      <c r="AJ108" s="168">
        <f t="shared" si="79"/>
        <v>0</v>
      </c>
      <c r="AK108" s="168">
        <f t="shared" si="79"/>
        <v>0</v>
      </c>
      <c r="AL108" s="168">
        <f t="shared" si="79"/>
        <v>0</v>
      </c>
      <c r="AM108" s="168">
        <f t="shared" si="79"/>
        <v>0</v>
      </c>
      <c r="AN108" s="168">
        <f t="shared" si="79"/>
        <v>0</v>
      </c>
      <c r="AO108" s="168">
        <f t="shared" si="79"/>
        <v>0</v>
      </c>
      <c r="AP108" s="168">
        <f t="shared" si="79"/>
        <v>0</v>
      </c>
      <c r="AQ108" s="170"/>
      <c r="AR108" s="171">
        <f t="shared" si="75"/>
        <v>49704.000099999997</v>
      </c>
      <c r="AT108" s="166">
        <f t="shared" si="76"/>
        <v>2012</v>
      </c>
      <c r="AU108" s="166">
        <f t="shared" si="77"/>
        <v>0</v>
      </c>
      <c r="AV108" s="166">
        <v>100</v>
      </c>
      <c r="AW108" s="241">
        <f t="shared" si="71"/>
        <v>0</v>
      </c>
      <c r="AX108" s="166">
        <f t="shared" si="72"/>
        <v>0</v>
      </c>
      <c r="AY108" s="166">
        <f t="shared" si="73"/>
        <v>0</v>
      </c>
      <c r="AZ108" s="242">
        <f t="shared" si="74"/>
        <v>0</v>
      </c>
      <c r="BA108" s="234">
        <f t="shared" si="54"/>
        <v>0</v>
      </c>
      <c r="BB108" s="235">
        <f t="shared" si="55"/>
        <v>0</v>
      </c>
      <c r="BC108" s="235">
        <f t="shared" si="56"/>
        <v>1</v>
      </c>
      <c r="BD108" s="236">
        <f t="shared" si="57"/>
        <v>0</v>
      </c>
    </row>
    <row r="109" spans="1:56" s="163" customFormat="1" ht="16.25" customHeight="1">
      <c r="A109" s="163" t="s">
        <v>232</v>
      </c>
      <c r="B109" s="163" t="s">
        <v>292</v>
      </c>
      <c r="C109" s="163" t="s">
        <v>408</v>
      </c>
      <c r="D109" s="176">
        <v>336</v>
      </c>
      <c r="E109" s="177">
        <f>'HGMD Unit Costs'!C176</f>
        <v>2019</v>
      </c>
      <c r="F109" s="203">
        <f>D109*'HGMD Unit Costs'!D176</f>
        <v>10080</v>
      </c>
      <c r="G109" s="167"/>
      <c r="H109" s="206">
        <f t="shared" si="67"/>
        <v>10432.799999999999</v>
      </c>
      <c r="I109" s="166">
        <v>2014</v>
      </c>
      <c r="J109" s="166"/>
      <c r="K109" s="177">
        <f>'HGMD Unit Costs'!E176</f>
        <v>30</v>
      </c>
      <c r="L109" s="169"/>
      <c r="M109" s="168">
        <f t="shared" si="78"/>
        <v>0</v>
      </c>
      <c r="N109" s="168">
        <f t="shared" si="78"/>
        <v>0</v>
      </c>
      <c r="O109" s="168">
        <f t="shared" si="78"/>
        <v>0</v>
      </c>
      <c r="P109" s="168">
        <f t="shared" si="78"/>
        <v>0</v>
      </c>
      <c r="Q109" s="168">
        <f t="shared" si="78"/>
        <v>0</v>
      </c>
      <c r="R109" s="168">
        <f t="shared" si="78"/>
        <v>0</v>
      </c>
      <c r="S109" s="168">
        <f t="shared" si="78"/>
        <v>0</v>
      </c>
      <c r="T109" s="168">
        <f t="shared" si="78"/>
        <v>0</v>
      </c>
      <c r="U109" s="168">
        <f t="shared" si="78"/>
        <v>0</v>
      </c>
      <c r="V109" s="168">
        <f t="shared" si="78"/>
        <v>0</v>
      </c>
      <c r="W109" s="168">
        <f t="shared" si="78"/>
        <v>0</v>
      </c>
      <c r="X109" s="168">
        <f t="shared" si="78"/>
        <v>0</v>
      </c>
      <c r="Y109" s="168">
        <f t="shared" si="78"/>
        <v>0</v>
      </c>
      <c r="Z109" s="168">
        <f t="shared" si="78"/>
        <v>0</v>
      </c>
      <c r="AA109" s="168">
        <f t="shared" si="78"/>
        <v>0</v>
      </c>
      <c r="AB109" s="168">
        <f t="shared" si="78"/>
        <v>0</v>
      </c>
      <c r="AC109" s="168">
        <f t="shared" si="79"/>
        <v>0</v>
      </c>
      <c r="AD109" s="168">
        <f t="shared" si="79"/>
        <v>0</v>
      </c>
      <c r="AE109" s="168">
        <f t="shared" si="79"/>
        <v>0</v>
      </c>
      <c r="AF109" s="168">
        <f t="shared" si="79"/>
        <v>0</v>
      </c>
      <c r="AG109" s="168">
        <f t="shared" si="79"/>
        <v>0</v>
      </c>
      <c r="AH109" s="168">
        <f t="shared" si="79"/>
        <v>0</v>
      </c>
      <c r="AI109" s="168">
        <f t="shared" si="79"/>
        <v>0</v>
      </c>
      <c r="AJ109" s="168">
        <f t="shared" si="79"/>
        <v>0</v>
      </c>
      <c r="AK109" s="168">
        <f t="shared" si="79"/>
        <v>23822</v>
      </c>
      <c r="AL109" s="168">
        <f t="shared" si="79"/>
        <v>0</v>
      </c>
      <c r="AM109" s="168">
        <f t="shared" si="79"/>
        <v>0</v>
      </c>
      <c r="AN109" s="168">
        <f t="shared" si="79"/>
        <v>0</v>
      </c>
      <c r="AO109" s="168">
        <f t="shared" si="79"/>
        <v>0</v>
      </c>
      <c r="AP109" s="168">
        <f t="shared" si="79"/>
        <v>0</v>
      </c>
      <c r="AQ109" s="170"/>
      <c r="AR109" s="171">
        <f t="shared" si="75"/>
        <v>23822.000100000001</v>
      </c>
      <c r="AT109" s="166">
        <f t="shared" si="76"/>
        <v>2014</v>
      </c>
      <c r="AU109" s="166">
        <f t="shared" si="77"/>
        <v>0</v>
      </c>
      <c r="AV109" s="166">
        <v>100</v>
      </c>
      <c r="AW109" s="241">
        <f t="shared" si="71"/>
        <v>0</v>
      </c>
      <c r="AX109" s="166">
        <f t="shared" si="72"/>
        <v>0</v>
      </c>
      <c r="AY109" s="166">
        <f t="shared" si="73"/>
        <v>0</v>
      </c>
      <c r="AZ109" s="242">
        <f t="shared" si="74"/>
        <v>0</v>
      </c>
      <c r="BA109" s="234">
        <f t="shared" si="54"/>
        <v>0</v>
      </c>
      <c r="BB109" s="235">
        <f t="shared" si="55"/>
        <v>0</v>
      </c>
      <c r="BC109" s="235">
        <f t="shared" si="56"/>
        <v>1</v>
      </c>
      <c r="BD109" s="236">
        <f t="shared" si="57"/>
        <v>0</v>
      </c>
    </row>
    <row r="110" spans="1:56" s="163" customFormat="1" ht="16.25" customHeight="1">
      <c r="A110" s="163" t="s">
        <v>232</v>
      </c>
      <c r="B110" s="163" t="s">
        <v>292</v>
      </c>
      <c r="C110" s="163" t="s">
        <v>384</v>
      </c>
      <c r="D110" s="176">
        <v>357</v>
      </c>
      <c r="E110" s="177">
        <f>'HGMD Unit Costs'!C176</f>
        <v>2019</v>
      </c>
      <c r="F110" s="203">
        <f>D110*'HGMD Unit Costs'!D176</f>
        <v>10710</v>
      </c>
      <c r="G110" s="167"/>
      <c r="H110" s="206">
        <f t="shared" si="67"/>
        <v>11084.849999999999</v>
      </c>
      <c r="I110" s="166">
        <v>2013</v>
      </c>
      <c r="J110" s="166"/>
      <c r="K110" s="177">
        <f>'HGMD Unit Costs'!E176</f>
        <v>30</v>
      </c>
      <c r="L110" s="169"/>
      <c r="M110" s="168">
        <f t="shared" si="78"/>
        <v>0</v>
      </c>
      <c r="N110" s="168">
        <f t="shared" si="78"/>
        <v>0</v>
      </c>
      <c r="O110" s="168">
        <f t="shared" si="78"/>
        <v>0</v>
      </c>
      <c r="P110" s="168">
        <f t="shared" si="78"/>
        <v>0</v>
      </c>
      <c r="Q110" s="168">
        <f t="shared" si="78"/>
        <v>0</v>
      </c>
      <c r="R110" s="168">
        <f t="shared" si="78"/>
        <v>0</v>
      </c>
      <c r="S110" s="168">
        <f t="shared" si="78"/>
        <v>0</v>
      </c>
      <c r="T110" s="168">
        <f t="shared" si="78"/>
        <v>0</v>
      </c>
      <c r="U110" s="168">
        <f t="shared" si="78"/>
        <v>0</v>
      </c>
      <c r="V110" s="168">
        <f t="shared" si="78"/>
        <v>0</v>
      </c>
      <c r="W110" s="168">
        <f t="shared" si="78"/>
        <v>0</v>
      </c>
      <c r="X110" s="168">
        <f t="shared" si="78"/>
        <v>0</v>
      </c>
      <c r="Y110" s="168">
        <f t="shared" si="78"/>
        <v>0</v>
      </c>
      <c r="Z110" s="168">
        <f t="shared" si="78"/>
        <v>0</v>
      </c>
      <c r="AA110" s="168">
        <f t="shared" si="78"/>
        <v>0</v>
      </c>
      <c r="AB110" s="168">
        <f t="shared" si="78"/>
        <v>0</v>
      </c>
      <c r="AC110" s="168">
        <f t="shared" si="79"/>
        <v>0</v>
      </c>
      <c r="AD110" s="168">
        <f t="shared" si="79"/>
        <v>0</v>
      </c>
      <c r="AE110" s="168">
        <f t="shared" si="79"/>
        <v>0</v>
      </c>
      <c r="AF110" s="168">
        <f t="shared" si="79"/>
        <v>0</v>
      </c>
      <c r="AG110" s="168">
        <f t="shared" si="79"/>
        <v>0</v>
      </c>
      <c r="AH110" s="168">
        <f t="shared" si="79"/>
        <v>0</v>
      </c>
      <c r="AI110" s="168">
        <f t="shared" si="79"/>
        <v>0</v>
      </c>
      <c r="AJ110" s="168">
        <f t="shared" si="79"/>
        <v>24454</v>
      </c>
      <c r="AK110" s="168">
        <f t="shared" si="79"/>
        <v>0</v>
      </c>
      <c r="AL110" s="168">
        <f t="shared" si="79"/>
        <v>0</v>
      </c>
      <c r="AM110" s="168">
        <f t="shared" si="79"/>
        <v>0</v>
      </c>
      <c r="AN110" s="168">
        <f t="shared" si="79"/>
        <v>0</v>
      </c>
      <c r="AO110" s="168">
        <f t="shared" si="79"/>
        <v>0</v>
      </c>
      <c r="AP110" s="168">
        <f t="shared" si="79"/>
        <v>0</v>
      </c>
      <c r="AQ110" s="170"/>
      <c r="AR110" s="171">
        <f t="shared" si="75"/>
        <v>24454.000100000001</v>
      </c>
      <c r="AT110" s="166">
        <f t="shared" si="76"/>
        <v>2013</v>
      </c>
      <c r="AU110" s="166">
        <f t="shared" si="77"/>
        <v>0</v>
      </c>
      <c r="AV110" s="166">
        <v>100</v>
      </c>
      <c r="AW110" s="241">
        <f t="shared" si="71"/>
        <v>0</v>
      </c>
      <c r="AX110" s="166">
        <f t="shared" si="72"/>
        <v>0</v>
      </c>
      <c r="AY110" s="166">
        <f t="shared" si="73"/>
        <v>0</v>
      </c>
      <c r="AZ110" s="242">
        <f t="shared" si="74"/>
        <v>0</v>
      </c>
      <c r="BA110" s="234">
        <f t="shared" si="54"/>
        <v>0</v>
      </c>
      <c r="BB110" s="235">
        <f t="shared" si="55"/>
        <v>0</v>
      </c>
      <c r="BC110" s="235">
        <f t="shared" si="56"/>
        <v>1</v>
      </c>
      <c r="BD110" s="236">
        <f t="shared" si="57"/>
        <v>0</v>
      </c>
    </row>
    <row r="111" spans="1:56" s="163" customFormat="1" ht="16.25" customHeight="1">
      <c r="A111" s="163" t="s">
        <v>232</v>
      </c>
      <c r="B111" s="163" t="s">
        <v>292</v>
      </c>
      <c r="C111" s="163" t="s">
        <v>409</v>
      </c>
      <c r="D111" s="176">
        <v>1176</v>
      </c>
      <c r="E111" s="177">
        <f>'HGMD Unit Costs'!C176</f>
        <v>2019</v>
      </c>
      <c r="F111" s="203">
        <f>D111*'HGMD Unit Costs'!D176</f>
        <v>35280</v>
      </c>
      <c r="G111" s="167"/>
      <c r="H111" s="206">
        <f t="shared" si="67"/>
        <v>36514.799999999996</v>
      </c>
      <c r="I111" s="166">
        <v>2017</v>
      </c>
      <c r="J111" s="166"/>
      <c r="K111" s="177">
        <f>'HGMD Unit Costs'!E176</f>
        <v>30</v>
      </c>
      <c r="L111" s="169"/>
      <c r="M111" s="168">
        <f t="shared" si="78"/>
        <v>0</v>
      </c>
      <c r="N111" s="168">
        <f t="shared" si="78"/>
        <v>0</v>
      </c>
      <c r="O111" s="168">
        <f t="shared" si="78"/>
        <v>0</v>
      </c>
      <c r="P111" s="168">
        <f t="shared" si="78"/>
        <v>0</v>
      </c>
      <c r="Q111" s="168">
        <f t="shared" si="78"/>
        <v>0</v>
      </c>
      <c r="R111" s="168">
        <f t="shared" si="78"/>
        <v>0</v>
      </c>
      <c r="S111" s="168">
        <f t="shared" si="78"/>
        <v>0</v>
      </c>
      <c r="T111" s="168">
        <f t="shared" si="78"/>
        <v>0</v>
      </c>
      <c r="U111" s="168">
        <f t="shared" si="78"/>
        <v>0</v>
      </c>
      <c r="V111" s="168">
        <f t="shared" si="78"/>
        <v>0</v>
      </c>
      <c r="W111" s="168">
        <f t="shared" si="78"/>
        <v>0</v>
      </c>
      <c r="X111" s="168">
        <f t="shared" si="78"/>
        <v>0</v>
      </c>
      <c r="Y111" s="168">
        <f t="shared" si="78"/>
        <v>0</v>
      </c>
      <c r="Z111" s="168">
        <f t="shared" si="78"/>
        <v>0</v>
      </c>
      <c r="AA111" s="168">
        <f t="shared" si="78"/>
        <v>0</v>
      </c>
      <c r="AB111" s="168">
        <f t="shared" si="78"/>
        <v>0</v>
      </c>
      <c r="AC111" s="168">
        <f t="shared" si="79"/>
        <v>0</v>
      </c>
      <c r="AD111" s="168">
        <f t="shared" si="79"/>
        <v>0</v>
      </c>
      <c r="AE111" s="168">
        <f t="shared" si="79"/>
        <v>0</v>
      </c>
      <c r="AF111" s="168">
        <f t="shared" si="79"/>
        <v>0</v>
      </c>
      <c r="AG111" s="168">
        <f t="shared" si="79"/>
        <v>0</v>
      </c>
      <c r="AH111" s="168">
        <f t="shared" si="79"/>
        <v>0</v>
      </c>
      <c r="AI111" s="168">
        <f t="shared" si="79"/>
        <v>0</v>
      </c>
      <c r="AJ111" s="168">
        <f t="shared" si="79"/>
        <v>0</v>
      </c>
      <c r="AK111" s="168">
        <f t="shared" si="79"/>
        <v>0</v>
      </c>
      <c r="AL111" s="168">
        <f t="shared" si="79"/>
        <v>0</v>
      </c>
      <c r="AM111" s="168">
        <f t="shared" si="79"/>
        <v>0</v>
      </c>
      <c r="AN111" s="168">
        <f t="shared" si="79"/>
        <v>92440</v>
      </c>
      <c r="AO111" s="168">
        <f t="shared" si="79"/>
        <v>0</v>
      </c>
      <c r="AP111" s="168">
        <f t="shared" si="79"/>
        <v>0</v>
      </c>
      <c r="AQ111" s="170"/>
      <c r="AR111" s="171">
        <f t="shared" si="75"/>
        <v>92440.000100000005</v>
      </c>
      <c r="AT111" s="166">
        <f t="shared" si="76"/>
        <v>2017</v>
      </c>
      <c r="AU111" s="166">
        <f t="shared" si="77"/>
        <v>0</v>
      </c>
      <c r="AV111" s="166">
        <v>100</v>
      </c>
      <c r="AW111" s="241">
        <f t="shared" si="71"/>
        <v>0</v>
      </c>
      <c r="AX111" s="166">
        <f t="shared" si="72"/>
        <v>0</v>
      </c>
      <c r="AY111" s="166">
        <f t="shared" si="73"/>
        <v>0</v>
      </c>
      <c r="AZ111" s="242">
        <f t="shared" si="74"/>
        <v>0</v>
      </c>
      <c r="BA111" s="234">
        <f t="shared" si="54"/>
        <v>0</v>
      </c>
      <c r="BB111" s="235">
        <f t="shared" si="55"/>
        <v>0</v>
      </c>
      <c r="BC111" s="235">
        <f t="shared" si="56"/>
        <v>1</v>
      </c>
      <c r="BD111" s="236">
        <f t="shared" si="57"/>
        <v>0</v>
      </c>
    </row>
    <row r="112" spans="1:56" s="163" customFormat="1" ht="16.25" customHeight="1">
      <c r="A112" s="163" t="s">
        <v>232</v>
      </c>
      <c r="B112" s="163" t="s">
        <v>292</v>
      </c>
      <c r="C112" s="163" t="s">
        <v>386</v>
      </c>
      <c r="D112" s="176">
        <v>498</v>
      </c>
      <c r="E112" s="177">
        <f>'HGMD Unit Costs'!C176</f>
        <v>2019</v>
      </c>
      <c r="F112" s="203">
        <f>D112*'HGMD Unit Costs'!D176</f>
        <v>14940</v>
      </c>
      <c r="G112" s="167"/>
      <c r="H112" s="206">
        <f t="shared" si="67"/>
        <v>15462.9</v>
      </c>
      <c r="I112" s="166">
        <v>2017</v>
      </c>
      <c r="J112" s="166"/>
      <c r="K112" s="177">
        <f>'HGMD Unit Costs'!E176</f>
        <v>30</v>
      </c>
      <c r="L112" s="169"/>
      <c r="M112" s="168">
        <f t="shared" si="78"/>
        <v>0</v>
      </c>
      <c r="N112" s="168">
        <f t="shared" si="78"/>
        <v>0</v>
      </c>
      <c r="O112" s="168">
        <f t="shared" si="78"/>
        <v>0</v>
      </c>
      <c r="P112" s="168">
        <f t="shared" si="78"/>
        <v>0</v>
      </c>
      <c r="Q112" s="168">
        <f t="shared" si="78"/>
        <v>0</v>
      </c>
      <c r="R112" s="168">
        <f t="shared" si="78"/>
        <v>0</v>
      </c>
      <c r="S112" s="168">
        <f t="shared" si="78"/>
        <v>0</v>
      </c>
      <c r="T112" s="168">
        <f t="shared" si="78"/>
        <v>0</v>
      </c>
      <c r="U112" s="168">
        <f t="shared" si="78"/>
        <v>0</v>
      </c>
      <c r="V112" s="168">
        <f t="shared" si="78"/>
        <v>0</v>
      </c>
      <c r="W112" s="168">
        <f t="shared" si="78"/>
        <v>0</v>
      </c>
      <c r="X112" s="168">
        <f t="shared" si="78"/>
        <v>0</v>
      </c>
      <c r="Y112" s="168">
        <f t="shared" si="78"/>
        <v>0</v>
      </c>
      <c r="Z112" s="168">
        <f t="shared" si="78"/>
        <v>0</v>
      </c>
      <c r="AA112" s="168">
        <f t="shared" si="78"/>
        <v>0</v>
      </c>
      <c r="AB112" s="168">
        <f t="shared" si="78"/>
        <v>0</v>
      </c>
      <c r="AC112" s="168">
        <f t="shared" si="79"/>
        <v>0</v>
      </c>
      <c r="AD112" s="168">
        <f t="shared" si="79"/>
        <v>0</v>
      </c>
      <c r="AE112" s="168">
        <f t="shared" si="79"/>
        <v>0</v>
      </c>
      <c r="AF112" s="168">
        <f t="shared" si="79"/>
        <v>0</v>
      </c>
      <c r="AG112" s="168">
        <f t="shared" si="79"/>
        <v>0</v>
      </c>
      <c r="AH112" s="168">
        <f t="shared" si="79"/>
        <v>0</v>
      </c>
      <c r="AI112" s="168">
        <f t="shared" si="79"/>
        <v>0</v>
      </c>
      <c r="AJ112" s="168">
        <f t="shared" si="79"/>
        <v>0</v>
      </c>
      <c r="AK112" s="168">
        <f t="shared" si="79"/>
        <v>0</v>
      </c>
      <c r="AL112" s="168">
        <f t="shared" si="79"/>
        <v>0</v>
      </c>
      <c r="AM112" s="168">
        <f t="shared" si="79"/>
        <v>0</v>
      </c>
      <c r="AN112" s="168">
        <f t="shared" si="79"/>
        <v>39145</v>
      </c>
      <c r="AO112" s="168">
        <f t="shared" si="79"/>
        <v>0</v>
      </c>
      <c r="AP112" s="168">
        <f t="shared" si="79"/>
        <v>0</v>
      </c>
      <c r="AQ112" s="170"/>
      <c r="AR112" s="171">
        <f t="shared" si="75"/>
        <v>39145.000099999997</v>
      </c>
      <c r="AT112" s="166">
        <f t="shared" si="76"/>
        <v>2017</v>
      </c>
      <c r="AU112" s="166">
        <f t="shared" si="77"/>
        <v>0</v>
      </c>
      <c r="AV112" s="166">
        <v>100</v>
      </c>
      <c r="AW112" s="241">
        <f t="shared" si="71"/>
        <v>0</v>
      </c>
      <c r="AX112" s="166">
        <f t="shared" si="72"/>
        <v>0</v>
      </c>
      <c r="AY112" s="166">
        <f t="shared" si="73"/>
        <v>0</v>
      </c>
      <c r="AZ112" s="242">
        <f t="shared" si="74"/>
        <v>0</v>
      </c>
      <c r="BA112" s="234">
        <f t="shared" si="54"/>
        <v>0</v>
      </c>
      <c r="BB112" s="235">
        <f t="shared" si="55"/>
        <v>0</v>
      </c>
      <c r="BC112" s="235">
        <f t="shared" si="56"/>
        <v>1</v>
      </c>
      <c r="BD112" s="236">
        <f t="shared" si="57"/>
        <v>0</v>
      </c>
    </row>
    <row r="113" spans="1:56" s="163" customFormat="1" ht="16.25" customHeight="1">
      <c r="A113" s="163" t="s">
        <v>232</v>
      </c>
      <c r="B113" s="163" t="s">
        <v>292</v>
      </c>
      <c r="C113" s="164" t="s">
        <v>11</v>
      </c>
      <c r="D113" s="165">
        <v>1</v>
      </c>
      <c r="E113" s="177">
        <f>golfcoursebridgecostyear</f>
        <v>2019</v>
      </c>
      <c r="F113" s="203">
        <f>D113*golfcoursebridgeunitcost</f>
        <v>165776</v>
      </c>
      <c r="G113" s="167">
        <v>0</v>
      </c>
      <c r="H113" s="206">
        <f t="shared" si="67"/>
        <v>171578.15999999997</v>
      </c>
      <c r="I113" s="166">
        <v>1973</v>
      </c>
      <c r="J113" s="166">
        <v>20</v>
      </c>
      <c r="K113" s="177">
        <f>golfcoursebridgellife</f>
        <v>30</v>
      </c>
      <c r="L113" s="169"/>
      <c r="M113" s="168">
        <f t="shared" si="78"/>
        <v>0</v>
      </c>
      <c r="N113" s="168">
        <f t="shared" si="78"/>
        <v>0</v>
      </c>
      <c r="O113" s="168">
        <f t="shared" si="78"/>
        <v>0</v>
      </c>
      <c r="P113" s="168">
        <f t="shared" si="78"/>
        <v>190232</v>
      </c>
      <c r="Q113" s="168">
        <f t="shared" si="78"/>
        <v>0</v>
      </c>
      <c r="R113" s="168">
        <f t="shared" si="78"/>
        <v>0</v>
      </c>
      <c r="S113" s="168">
        <f t="shared" si="78"/>
        <v>0</v>
      </c>
      <c r="T113" s="168">
        <f t="shared" si="78"/>
        <v>0</v>
      </c>
      <c r="U113" s="168">
        <f t="shared" si="78"/>
        <v>0</v>
      </c>
      <c r="V113" s="168">
        <f t="shared" si="78"/>
        <v>0</v>
      </c>
      <c r="W113" s="168">
        <f t="shared" si="78"/>
        <v>0</v>
      </c>
      <c r="X113" s="168">
        <f t="shared" si="78"/>
        <v>0</v>
      </c>
      <c r="Y113" s="168">
        <f t="shared" si="78"/>
        <v>0</v>
      </c>
      <c r="Z113" s="168">
        <f t="shared" si="78"/>
        <v>0</v>
      </c>
      <c r="AA113" s="168">
        <f t="shared" si="78"/>
        <v>0</v>
      </c>
      <c r="AB113" s="168">
        <f t="shared" si="78"/>
        <v>0</v>
      </c>
      <c r="AC113" s="168">
        <f t="shared" si="79"/>
        <v>0</v>
      </c>
      <c r="AD113" s="168">
        <f t="shared" si="79"/>
        <v>0</v>
      </c>
      <c r="AE113" s="168">
        <f t="shared" si="79"/>
        <v>0</v>
      </c>
      <c r="AF113" s="168">
        <f t="shared" si="79"/>
        <v>0</v>
      </c>
      <c r="AG113" s="168">
        <f t="shared" si="79"/>
        <v>0</v>
      </c>
      <c r="AH113" s="168">
        <f t="shared" si="79"/>
        <v>0</v>
      </c>
      <c r="AI113" s="168">
        <f t="shared" si="79"/>
        <v>0</v>
      </c>
      <c r="AJ113" s="168">
        <f t="shared" si="79"/>
        <v>0</v>
      </c>
      <c r="AK113" s="168">
        <f t="shared" si="79"/>
        <v>0</v>
      </c>
      <c r="AL113" s="168">
        <f t="shared" si="79"/>
        <v>0</v>
      </c>
      <c r="AM113" s="168">
        <f t="shared" si="79"/>
        <v>0</v>
      </c>
      <c r="AN113" s="168">
        <f t="shared" si="79"/>
        <v>0</v>
      </c>
      <c r="AO113" s="168">
        <f t="shared" si="79"/>
        <v>0</v>
      </c>
      <c r="AP113" s="168">
        <f t="shared" si="79"/>
        <v>0</v>
      </c>
      <c r="AQ113" s="170"/>
      <c r="AR113" s="171">
        <f t="shared" si="75"/>
        <v>190232.0001</v>
      </c>
      <c r="AT113" s="166">
        <f t="shared" si="76"/>
        <v>1973</v>
      </c>
      <c r="AU113" s="166">
        <f t="shared" si="77"/>
        <v>20</v>
      </c>
      <c r="AV113" s="166">
        <v>100</v>
      </c>
      <c r="AW113" s="241">
        <f t="shared" si="71"/>
        <v>0</v>
      </c>
      <c r="AX113" s="166">
        <f t="shared" si="72"/>
        <v>0</v>
      </c>
      <c r="AY113" s="166">
        <f t="shared" si="73"/>
        <v>0</v>
      </c>
      <c r="AZ113" s="242">
        <f t="shared" si="74"/>
        <v>0</v>
      </c>
      <c r="BA113" s="234">
        <f t="shared" si="54"/>
        <v>0</v>
      </c>
      <c r="BB113" s="235">
        <f t="shared" si="55"/>
        <v>0</v>
      </c>
      <c r="BC113" s="235">
        <f t="shared" si="56"/>
        <v>1</v>
      </c>
      <c r="BD113" s="236">
        <f t="shared" si="57"/>
        <v>0</v>
      </c>
    </row>
    <row r="114" spans="1:56" s="163" customFormat="1" ht="16.25" customHeight="1">
      <c r="A114" s="163" t="s">
        <v>232</v>
      </c>
      <c r="B114" s="163" t="s">
        <v>292</v>
      </c>
      <c r="C114" s="163" t="s">
        <v>52</v>
      </c>
      <c r="D114" s="165">
        <v>1</v>
      </c>
      <c r="E114" s="177">
        <f>fencelevelspreadercostyear</f>
        <v>2019</v>
      </c>
      <c r="F114" s="203">
        <f>fencelevelspreaderunitcost*D114</f>
        <v>14643</v>
      </c>
      <c r="G114" s="167"/>
      <c r="H114" s="206">
        <f t="shared" si="67"/>
        <v>15155.504999999999</v>
      </c>
      <c r="I114" s="175">
        <v>2013</v>
      </c>
      <c r="K114" s="208">
        <f>fencelevelspreaderlife</f>
        <v>30</v>
      </c>
      <c r="L114" s="169"/>
      <c r="M114" s="168">
        <f t="shared" si="78"/>
        <v>0</v>
      </c>
      <c r="N114" s="168">
        <f t="shared" si="78"/>
        <v>0</v>
      </c>
      <c r="O114" s="168">
        <f t="shared" si="78"/>
        <v>0</v>
      </c>
      <c r="P114" s="168">
        <f t="shared" si="78"/>
        <v>0</v>
      </c>
      <c r="Q114" s="168">
        <f t="shared" si="78"/>
        <v>0</v>
      </c>
      <c r="R114" s="168">
        <f t="shared" si="78"/>
        <v>0</v>
      </c>
      <c r="S114" s="168">
        <f t="shared" si="78"/>
        <v>0</v>
      </c>
      <c r="T114" s="168">
        <f t="shared" si="78"/>
        <v>0</v>
      </c>
      <c r="U114" s="168">
        <f t="shared" si="78"/>
        <v>0</v>
      </c>
      <c r="V114" s="168">
        <f t="shared" si="78"/>
        <v>0</v>
      </c>
      <c r="W114" s="168">
        <f t="shared" si="78"/>
        <v>0</v>
      </c>
      <c r="X114" s="168">
        <f t="shared" si="78"/>
        <v>0</v>
      </c>
      <c r="Y114" s="168">
        <f t="shared" si="78"/>
        <v>0</v>
      </c>
      <c r="Z114" s="168">
        <f t="shared" si="78"/>
        <v>0</v>
      </c>
      <c r="AA114" s="168">
        <f t="shared" si="78"/>
        <v>0</v>
      </c>
      <c r="AB114" s="168">
        <f t="shared" si="78"/>
        <v>0</v>
      </c>
      <c r="AC114" s="168">
        <f t="shared" si="79"/>
        <v>0</v>
      </c>
      <c r="AD114" s="168">
        <f t="shared" si="79"/>
        <v>0</v>
      </c>
      <c r="AE114" s="168">
        <f t="shared" si="79"/>
        <v>0</v>
      </c>
      <c r="AF114" s="168">
        <f t="shared" si="79"/>
        <v>0</v>
      </c>
      <c r="AG114" s="168">
        <f t="shared" si="79"/>
        <v>0</v>
      </c>
      <c r="AH114" s="168">
        <f t="shared" si="79"/>
        <v>0</v>
      </c>
      <c r="AI114" s="168">
        <f t="shared" si="79"/>
        <v>0</v>
      </c>
      <c r="AJ114" s="168">
        <f t="shared" si="79"/>
        <v>33435</v>
      </c>
      <c r="AK114" s="168">
        <f t="shared" si="79"/>
        <v>0</v>
      </c>
      <c r="AL114" s="168">
        <f t="shared" si="79"/>
        <v>0</v>
      </c>
      <c r="AM114" s="168">
        <f t="shared" si="79"/>
        <v>0</v>
      </c>
      <c r="AN114" s="168">
        <f t="shared" si="79"/>
        <v>0</v>
      </c>
      <c r="AO114" s="168">
        <f t="shared" si="79"/>
        <v>0</v>
      </c>
      <c r="AP114" s="168">
        <f t="shared" si="79"/>
        <v>0</v>
      </c>
      <c r="AQ114" s="170"/>
      <c r="AR114" s="171">
        <f t="shared" si="75"/>
        <v>33435.000099999997</v>
      </c>
      <c r="AT114" s="166">
        <f t="shared" si="76"/>
        <v>2013</v>
      </c>
      <c r="AU114" s="166">
        <f t="shared" si="77"/>
        <v>0</v>
      </c>
      <c r="AV114" s="166">
        <v>100</v>
      </c>
      <c r="AW114" s="241">
        <f t="shared" si="71"/>
        <v>0</v>
      </c>
      <c r="AX114" s="166">
        <f t="shared" si="72"/>
        <v>0</v>
      </c>
      <c r="AY114" s="166">
        <f t="shared" si="73"/>
        <v>0</v>
      </c>
      <c r="AZ114" s="242">
        <f t="shared" si="74"/>
        <v>0</v>
      </c>
      <c r="BA114" s="234">
        <f t="shared" si="54"/>
        <v>0</v>
      </c>
      <c r="BB114" s="235">
        <f t="shared" si="55"/>
        <v>0</v>
      </c>
      <c r="BC114" s="235">
        <f t="shared" si="56"/>
        <v>1</v>
      </c>
      <c r="BD114" s="236">
        <f t="shared" si="57"/>
        <v>0</v>
      </c>
    </row>
    <row r="115" spans="1:56" s="163" customFormat="1" ht="16.25" customHeight="1">
      <c r="A115" s="163" t="s">
        <v>232</v>
      </c>
      <c r="B115" s="163" t="s">
        <v>292</v>
      </c>
      <c r="C115" s="164" t="s">
        <v>310</v>
      </c>
      <c r="D115" s="165">
        <v>1</v>
      </c>
      <c r="E115" s="177">
        <f>golfcoursescoreboardcostyear</f>
        <v>2019</v>
      </c>
      <c r="F115" s="203">
        <f>D115*golfcoursescoreboardunitcost</f>
        <v>9000</v>
      </c>
      <c r="G115" s="167">
        <v>0</v>
      </c>
      <c r="H115" s="206">
        <f t="shared" si="67"/>
        <v>9315</v>
      </c>
      <c r="I115" s="166">
        <v>2013</v>
      </c>
      <c r="J115" s="166">
        <v>0</v>
      </c>
      <c r="K115" s="177">
        <f>golfcoursescoreboardlife</f>
        <v>20</v>
      </c>
      <c r="L115" s="169" t="s">
        <v>414</v>
      </c>
      <c r="M115" s="168">
        <f t="shared" ref="M115:V128" si="80">ROUND($H115*IF(AND(M$1&gt;=($I115+$J115),MOD(M$1-($I115+$J115),$K115)=0),(1+InflationRate)^(M$1-AnalysisYear),0),0)*IF(AND(M$1&gt;=($AT115+$AU115),(M$1-($AT115+$AU115))&lt;&gt;0,MOD(M$1-($AT115+$AU115),$AV115)=0),0,1)</f>
        <v>0</v>
      </c>
      <c r="N115" s="168">
        <f t="shared" si="80"/>
        <v>0</v>
      </c>
      <c r="O115" s="168">
        <f t="shared" si="80"/>
        <v>0</v>
      </c>
      <c r="P115" s="168">
        <f t="shared" si="80"/>
        <v>0</v>
      </c>
      <c r="Q115" s="168">
        <f t="shared" si="80"/>
        <v>0</v>
      </c>
      <c r="R115" s="168">
        <f t="shared" si="80"/>
        <v>0</v>
      </c>
      <c r="S115" s="168">
        <f t="shared" si="80"/>
        <v>0</v>
      </c>
      <c r="T115" s="168">
        <f t="shared" si="80"/>
        <v>0</v>
      </c>
      <c r="U115" s="168">
        <f t="shared" si="80"/>
        <v>0</v>
      </c>
      <c r="V115" s="168">
        <f t="shared" si="80"/>
        <v>0</v>
      </c>
      <c r="W115" s="168">
        <f t="shared" ref="W115:AF128" si="81">ROUND($H115*IF(AND(W$1&gt;=($I115+$J115),MOD(W$1-($I115+$J115),$K115)=0),(1+InflationRate)^(W$1-AnalysisYear),0),0)*IF(AND(W$1&gt;=($AT115+$AU115),(W$1-($AT115+$AU115))&lt;&gt;0,MOD(W$1-($AT115+$AU115),$AV115)=0),0,1)</f>
        <v>0</v>
      </c>
      <c r="X115" s="168">
        <f t="shared" si="81"/>
        <v>0</v>
      </c>
      <c r="Y115" s="168">
        <f t="shared" si="81"/>
        <v>0</v>
      </c>
      <c r="Z115" s="168">
        <f t="shared" si="81"/>
        <v>14568</v>
      </c>
      <c r="AA115" s="168">
        <f t="shared" si="81"/>
        <v>0</v>
      </c>
      <c r="AB115" s="168">
        <f t="shared" si="81"/>
        <v>0</v>
      </c>
      <c r="AC115" s="168">
        <f t="shared" si="81"/>
        <v>0</v>
      </c>
      <c r="AD115" s="168">
        <f t="shared" si="81"/>
        <v>0</v>
      </c>
      <c r="AE115" s="168">
        <f t="shared" si="81"/>
        <v>0</v>
      </c>
      <c r="AF115" s="168">
        <f t="shared" si="81"/>
        <v>0</v>
      </c>
      <c r="AG115" s="168">
        <f t="shared" ref="AG115:AP128" si="82">ROUND($H115*IF(AND(AG$1&gt;=($I115+$J115),MOD(AG$1-($I115+$J115),$K115)=0),(1+InflationRate)^(AG$1-AnalysisYear),0),0)*IF(AND(AG$1&gt;=($AT115+$AU115),(AG$1-($AT115+$AU115))&lt;&gt;0,MOD(AG$1-($AT115+$AU115),$AV115)=0),0,1)</f>
        <v>0</v>
      </c>
      <c r="AH115" s="168">
        <f t="shared" si="82"/>
        <v>0</v>
      </c>
      <c r="AI115" s="168">
        <f t="shared" si="82"/>
        <v>0</v>
      </c>
      <c r="AJ115" s="168">
        <f t="shared" si="82"/>
        <v>0</v>
      </c>
      <c r="AK115" s="168">
        <f t="shared" si="82"/>
        <v>0</v>
      </c>
      <c r="AL115" s="168">
        <f t="shared" si="82"/>
        <v>0</v>
      </c>
      <c r="AM115" s="168">
        <f t="shared" si="82"/>
        <v>0</v>
      </c>
      <c r="AN115" s="168">
        <f t="shared" si="82"/>
        <v>0</v>
      </c>
      <c r="AO115" s="168">
        <f t="shared" si="82"/>
        <v>0</v>
      </c>
      <c r="AP115" s="168">
        <f t="shared" si="82"/>
        <v>0</v>
      </c>
      <c r="AQ115" s="170"/>
      <c r="AR115" s="171">
        <f t="shared" ref="AR115:AR127" si="83">SUM(L115:AQ115)+0.0001</f>
        <v>14568.000099999999</v>
      </c>
      <c r="AT115" s="166">
        <f t="shared" ref="AT115:AT127" si="84">I115</f>
        <v>2013</v>
      </c>
      <c r="AU115" s="166">
        <f t="shared" ref="AU115:AU127" si="85">J115</f>
        <v>0</v>
      </c>
      <c r="AV115" s="166">
        <v>100</v>
      </c>
      <c r="AW115" s="241">
        <f t="shared" ref="AW115:AW127" si="86">IF($L115="F",1,0)</f>
        <v>0</v>
      </c>
      <c r="AX115" s="166">
        <f t="shared" ref="AX115:AX127" si="87">IF($L115="L",1,0)</f>
        <v>1</v>
      </c>
      <c r="AY115" s="166">
        <f t="shared" ref="AY115:AY127" si="88">IF($L115="T",1,0)</f>
        <v>0</v>
      </c>
      <c r="AZ115" s="242">
        <f t="shared" ref="AZ115:AZ127" si="89">IF($L115="I",1,0)</f>
        <v>0</v>
      </c>
      <c r="BA115" s="234">
        <f t="shared" si="54"/>
        <v>0</v>
      </c>
      <c r="BB115" s="235">
        <f t="shared" si="55"/>
        <v>0</v>
      </c>
      <c r="BC115" s="235">
        <f t="shared" si="56"/>
        <v>1</v>
      </c>
      <c r="BD115" s="236">
        <f t="shared" si="57"/>
        <v>0</v>
      </c>
    </row>
    <row r="116" spans="1:56" s="163" customFormat="1" ht="16.25" customHeight="1">
      <c r="A116" s="163" t="s">
        <v>232</v>
      </c>
      <c r="B116" s="163" t="s">
        <v>292</v>
      </c>
      <c r="C116" s="164" t="s">
        <v>16</v>
      </c>
      <c r="D116" s="165">
        <v>1</v>
      </c>
      <c r="E116" s="177">
        <f>irrigationdesigncostyear</f>
        <v>2019</v>
      </c>
      <c r="F116" s="203">
        <f>D116*Irrigationdesignunitcost</f>
        <v>11356</v>
      </c>
      <c r="G116" s="167">
        <v>0</v>
      </c>
      <c r="H116" s="206">
        <f t="shared" si="67"/>
        <v>11753.46</v>
      </c>
      <c r="I116" s="166">
        <v>1975</v>
      </c>
      <c r="J116" s="166">
        <v>40</v>
      </c>
      <c r="K116" s="177">
        <f>Inventorydesignlife</f>
        <v>20</v>
      </c>
      <c r="L116" s="169"/>
      <c r="M116" s="168">
        <f t="shared" si="80"/>
        <v>0</v>
      </c>
      <c r="N116" s="168">
        <f t="shared" si="80"/>
        <v>0</v>
      </c>
      <c r="O116" s="168">
        <f t="shared" si="80"/>
        <v>0</v>
      </c>
      <c r="P116" s="168">
        <f t="shared" si="80"/>
        <v>0</v>
      </c>
      <c r="Q116" s="168">
        <f t="shared" si="80"/>
        <v>0</v>
      </c>
      <c r="R116" s="168">
        <f t="shared" si="80"/>
        <v>0</v>
      </c>
      <c r="S116" s="168">
        <f t="shared" si="80"/>
        <v>0</v>
      </c>
      <c r="T116" s="168">
        <f t="shared" si="80"/>
        <v>0</v>
      </c>
      <c r="U116" s="168">
        <f t="shared" si="80"/>
        <v>0</v>
      </c>
      <c r="V116" s="168">
        <f t="shared" si="80"/>
        <v>0</v>
      </c>
      <c r="W116" s="168">
        <f t="shared" si="81"/>
        <v>0</v>
      </c>
      <c r="X116" s="168">
        <f t="shared" si="81"/>
        <v>0</v>
      </c>
      <c r="Y116" s="168">
        <f t="shared" si="81"/>
        <v>0</v>
      </c>
      <c r="Z116" s="168">
        <f t="shared" si="81"/>
        <v>0</v>
      </c>
      <c r="AA116" s="168">
        <f t="shared" si="81"/>
        <v>0</v>
      </c>
      <c r="AB116" s="168">
        <f t="shared" si="81"/>
        <v>19691</v>
      </c>
      <c r="AC116" s="168">
        <f t="shared" si="81"/>
        <v>0</v>
      </c>
      <c r="AD116" s="168">
        <f t="shared" si="81"/>
        <v>0</v>
      </c>
      <c r="AE116" s="168">
        <f t="shared" si="81"/>
        <v>0</v>
      </c>
      <c r="AF116" s="168">
        <f t="shared" si="81"/>
        <v>0</v>
      </c>
      <c r="AG116" s="168">
        <f t="shared" si="82"/>
        <v>0</v>
      </c>
      <c r="AH116" s="168">
        <f t="shared" si="82"/>
        <v>0</v>
      </c>
      <c r="AI116" s="168">
        <f t="shared" si="82"/>
        <v>0</v>
      </c>
      <c r="AJ116" s="168">
        <f t="shared" si="82"/>
        <v>0</v>
      </c>
      <c r="AK116" s="168">
        <f t="shared" si="82"/>
        <v>0</v>
      </c>
      <c r="AL116" s="168">
        <f t="shared" si="82"/>
        <v>0</v>
      </c>
      <c r="AM116" s="168">
        <f t="shared" si="82"/>
        <v>0</v>
      </c>
      <c r="AN116" s="168">
        <f t="shared" si="82"/>
        <v>0</v>
      </c>
      <c r="AO116" s="168">
        <f t="shared" si="82"/>
        <v>0</v>
      </c>
      <c r="AP116" s="168">
        <f t="shared" si="82"/>
        <v>0</v>
      </c>
      <c r="AQ116" s="170"/>
      <c r="AR116" s="171">
        <f t="shared" si="83"/>
        <v>19691.000100000001</v>
      </c>
      <c r="AT116" s="166">
        <f t="shared" si="84"/>
        <v>1975</v>
      </c>
      <c r="AU116" s="166">
        <f t="shared" si="85"/>
        <v>40</v>
      </c>
      <c r="AV116" s="166">
        <v>100</v>
      </c>
      <c r="AW116" s="241">
        <f t="shared" si="86"/>
        <v>0</v>
      </c>
      <c r="AX116" s="166">
        <f t="shared" si="87"/>
        <v>0</v>
      </c>
      <c r="AY116" s="166">
        <f t="shared" si="88"/>
        <v>0</v>
      </c>
      <c r="AZ116" s="242">
        <f t="shared" si="89"/>
        <v>0</v>
      </c>
      <c r="BA116" s="234">
        <f t="shared" si="54"/>
        <v>0</v>
      </c>
      <c r="BB116" s="235">
        <f t="shared" si="55"/>
        <v>0</v>
      </c>
      <c r="BC116" s="235">
        <f t="shared" si="56"/>
        <v>1</v>
      </c>
      <c r="BD116" s="236">
        <f t="shared" si="57"/>
        <v>0</v>
      </c>
    </row>
    <row r="117" spans="1:56" s="163" customFormat="1" ht="16.25" customHeight="1">
      <c r="A117" s="163" t="s">
        <v>232</v>
      </c>
      <c r="B117" s="163" t="s">
        <v>292</v>
      </c>
      <c r="C117" s="186" t="s">
        <v>237</v>
      </c>
      <c r="D117" s="165">
        <v>1</v>
      </c>
      <c r="E117" s="177">
        <f>Irrigationsystem2holescostyear</f>
        <v>2015</v>
      </c>
      <c r="F117" s="203">
        <f>D117*IrrigationSystem2HolesUnitcost</f>
        <v>130578</v>
      </c>
      <c r="G117" s="167">
        <v>0</v>
      </c>
      <c r="H117" s="206">
        <f t="shared" si="67"/>
        <v>155085.70241875757</v>
      </c>
      <c r="I117" s="166">
        <v>1995</v>
      </c>
      <c r="J117" s="166">
        <v>0</v>
      </c>
      <c r="K117" s="177">
        <f>IrrigationSystem2HolesLife</f>
        <v>40</v>
      </c>
      <c r="L117" s="169"/>
      <c r="M117" s="168">
        <f t="shared" si="80"/>
        <v>0</v>
      </c>
      <c r="N117" s="168">
        <f t="shared" si="80"/>
        <v>0</v>
      </c>
      <c r="O117" s="168">
        <f t="shared" si="80"/>
        <v>0</v>
      </c>
      <c r="P117" s="168">
        <f t="shared" si="80"/>
        <v>0</v>
      </c>
      <c r="Q117" s="168">
        <f t="shared" si="80"/>
        <v>0</v>
      </c>
      <c r="R117" s="168">
        <f t="shared" si="80"/>
        <v>0</v>
      </c>
      <c r="S117" s="168">
        <f t="shared" si="80"/>
        <v>0</v>
      </c>
      <c r="T117" s="168">
        <f t="shared" si="80"/>
        <v>0</v>
      </c>
      <c r="U117" s="168">
        <f t="shared" si="80"/>
        <v>0</v>
      </c>
      <c r="V117" s="168">
        <f t="shared" si="80"/>
        <v>0</v>
      </c>
      <c r="W117" s="168">
        <f t="shared" si="81"/>
        <v>0</v>
      </c>
      <c r="X117" s="168">
        <f t="shared" si="81"/>
        <v>0</v>
      </c>
      <c r="Y117" s="168">
        <f t="shared" si="81"/>
        <v>0</v>
      </c>
      <c r="Z117" s="168">
        <f t="shared" si="81"/>
        <v>0</v>
      </c>
      <c r="AA117" s="168">
        <f t="shared" si="81"/>
        <v>0</v>
      </c>
      <c r="AB117" s="168">
        <f t="shared" si="81"/>
        <v>259823</v>
      </c>
      <c r="AC117" s="168">
        <f t="shared" si="81"/>
        <v>0</v>
      </c>
      <c r="AD117" s="168">
        <f t="shared" si="81"/>
        <v>0</v>
      </c>
      <c r="AE117" s="168">
        <f t="shared" si="81"/>
        <v>0</v>
      </c>
      <c r="AF117" s="168">
        <f t="shared" si="81"/>
        <v>0</v>
      </c>
      <c r="AG117" s="168">
        <f t="shared" si="82"/>
        <v>0</v>
      </c>
      <c r="AH117" s="168">
        <f t="shared" si="82"/>
        <v>0</v>
      </c>
      <c r="AI117" s="168">
        <f t="shared" si="82"/>
        <v>0</v>
      </c>
      <c r="AJ117" s="168">
        <f t="shared" si="82"/>
        <v>0</v>
      </c>
      <c r="AK117" s="168">
        <f t="shared" si="82"/>
        <v>0</v>
      </c>
      <c r="AL117" s="168">
        <f t="shared" si="82"/>
        <v>0</v>
      </c>
      <c r="AM117" s="168">
        <f t="shared" si="82"/>
        <v>0</v>
      </c>
      <c r="AN117" s="168">
        <f t="shared" si="82"/>
        <v>0</v>
      </c>
      <c r="AO117" s="168">
        <f t="shared" si="82"/>
        <v>0</v>
      </c>
      <c r="AP117" s="168">
        <f t="shared" si="82"/>
        <v>0</v>
      </c>
      <c r="AQ117" s="170"/>
      <c r="AR117" s="171">
        <f t="shared" si="83"/>
        <v>259823.0001</v>
      </c>
      <c r="AT117" s="166">
        <f t="shared" si="84"/>
        <v>1995</v>
      </c>
      <c r="AU117" s="166">
        <f t="shared" si="85"/>
        <v>0</v>
      </c>
      <c r="AV117" s="166">
        <v>100</v>
      </c>
      <c r="AW117" s="241">
        <f t="shared" si="86"/>
        <v>0</v>
      </c>
      <c r="AX117" s="166">
        <f t="shared" si="87"/>
        <v>0</v>
      </c>
      <c r="AY117" s="166">
        <f t="shared" si="88"/>
        <v>0</v>
      </c>
      <c r="AZ117" s="242">
        <f t="shared" si="89"/>
        <v>0</v>
      </c>
      <c r="BA117" s="234">
        <f t="shared" si="54"/>
        <v>0</v>
      </c>
      <c r="BB117" s="235">
        <f t="shared" si="55"/>
        <v>0</v>
      </c>
      <c r="BC117" s="235">
        <f t="shared" si="56"/>
        <v>1</v>
      </c>
      <c r="BD117" s="236">
        <f t="shared" si="57"/>
        <v>0</v>
      </c>
    </row>
    <row r="118" spans="1:56" s="163" customFormat="1" ht="16.25" customHeight="1">
      <c r="A118" s="163" t="s">
        <v>232</v>
      </c>
      <c r="B118" s="163" t="s">
        <v>292</v>
      </c>
      <c r="C118" s="186" t="s">
        <v>238</v>
      </c>
      <c r="D118" s="165">
        <v>1</v>
      </c>
      <c r="E118" s="177">
        <f>Irrigationsystem2holescostyear</f>
        <v>2015</v>
      </c>
      <c r="F118" s="203">
        <f>D118*IrrigationSystem2HolesUnitcost</f>
        <v>130578</v>
      </c>
      <c r="G118" s="167">
        <v>0</v>
      </c>
      <c r="H118" s="206">
        <f t="shared" si="67"/>
        <v>155085.70241875757</v>
      </c>
      <c r="I118" s="166">
        <v>1996</v>
      </c>
      <c r="J118" s="166">
        <v>0</v>
      </c>
      <c r="K118" s="177">
        <f>IrrigationSystem2HolesLife</f>
        <v>40</v>
      </c>
      <c r="L118" s="169"/>
      <c r="M118" s="168">
        <f t="shared" si="80"/>
        <v>0</v>
      </c>
      <c r="N118" s="168">
        <f t="shared" si="80"/>
        <v>0</v>
      </c>
      <c r="O118" s="168">
        <f t="shared" si="80"/>
        <v>0</v>
      </c>
      <c r="P118" s="168">
        <f t="shared" si="80"/>
        <v>0</v>
      </c>
      <c r="Q118" s="168">
        <f t="shared" si="80"/>
        <v>0</v>
      </c>
      <c r="R118" s="168">
        <f t="shared" si="80"/>
        <v>0</v>
      </c>
      <c r="S118" s="168">
        <f t="shared" si="80"/>
        <v>0</v>
      </c>
      <c r="T118" s="168">
        <f t="shared" si="80"/>
        <v>0</v>
      </c>
      <c r="U118" s="168">
        <f t="shared" si="80"/>
        <v>0</v>
      </c>
      <c r="V118" s="168">
        <f t="shared" si="80"/>
        <v>0</v>
      </c>
      <c r="W118" s="168">
        <f t="shared" si="81"/>
        <v>0</v>
      </c>
      <c r="X118" s="168">
        <f t="shared" si="81"/>
        <v>0</v>
      </c>
      <c r="Y118" s="168">
        <f t="shared" si="81"/>
        <v>0</v>
      </c>
      <c r="Z118" s="168">
        <f t="shared" si="81"/>
        <v>0</v>
      </c>
      <c r="AA118" s="168">
        <f t="shared" si="81"/>
        <v>0</v>
      </c>
      <c r="AB118" s="168">
        <f t="shared" si="81"/>
        <v>0</v>
      </c>
      <c r="AC118" s="168">
        <f t="shared" si="81"/>
        <v>268916</v>
      </c>
      <c r="AD118" s="168">
        <f t="shared" si="81"/>
        <v>0</v>
      </c>
      <c r="AE118" s="168">
        <f t="shared" si="81"/>
        <v>0</v>
      </c>
      <c r="AF118" s="168">
        <f t="shared" si="81"/>
        <v>0</v>
      </c>
      <c r="AG118" s="168">
        <f t="shared" si="82"/>
        <v>0</v>
      </c>
      <c r="AH118" s="168">
        <f t="shared" si="82"/>
        <v>0</v>
      </c>
      <c r="AI118" s="168">
        <f t="shared" si="82"/>
        <v>0</v>
      </c>
      <c r="AJ118" s="168">
        <f t="shared" si="82"/>
        <v>0</v>
      </c>
      <c r="AK118" s="168">
        <f t="shared" si="82"/>
        <v>0</v>
      </c>
      <c r="AL118" s="168">
        <f t="shared" si="82"/>
        <v>0</v>
      </c>
      <c r="AM118" s="168">
        <f t="shared" si="82"/>
        <v>0</v>
      </c>
      <c r="AN118" s="168">
        <f t="shared" si="82"/>
        <v>0</v>
      </c>
      <c r="AO118" s="168">
        <f t="shared" si="82"/>
        <v>0</v>
      </c>
      <c r="AP118" s="168">
        <f t="shared" si="82"/>
        <v>0</v>
      </c>
      <c r="AQ118" s="170"/>
      <c r="AR118" s="171">
        <f t="shared" si="83"/>
        <v>268916.0001</v>
      </c>
      <c r="AT118" s="166">
        <f t="shared" si="84"/>
        <v>1996</v>
      </c>
      <c r="AU118" s="166">
        <f t="shared" si="85"/>
        <v>0</v>
      </c>
      <c r="AV118" s="166">
        <v>100</v>
      </c>
      <c r="AW118" s="241">
        <f t="shared" si="86"/>
        <v>0</v>
      </c>
      <c r="AX118" s="166">
        <f t="shared" si="87"/>
        <v>0</v>
      </c>
      <c r="AY118" s="166">
        <f t="shared" si="88"/>
        <v>0</v>
      </c>
      <c r="AZ118" s="242">
        <f t="shared" si="89"/>
        <v>0</v>
      </c>
      <c r="BA118" s="234">
        <f t="shared" si="54"/>
        <v>0</v>
      </c>
      <c r="BB118" s="235">
        <f t="shared" si="55"/>
        <v>0</v>
      </c>
      <c r="BC118" s="235">
        <f t="shared" si="56"/>
        <v>1</v>
      </c>
      <c r="BD118" s="236">
        <f t="shared" si="57"/>
        <v>0</v>
      </c>
    </row>
    <row r="119" spans="1:56" s="163" customFormat="1">
      <c r="A119" s="163" t="s">
        <v>232</v>
      </c>
      <c r="B119" s="163" t="s">
        <v>292</v>
      </c>
      <c r="C119" s="186" t="s">
        <v>239</v>
      </c>
      <c r="D119" s="165">
        <v>1</v>
      </c>
      <c r="E119" s="177">
        <f>Irrigationsystem2holescostyear</f>
        <v>2015</v>
      </c>
      <c r="F119" s="203">
        <f>D119*IrrigationSystem2HolesUnitcost</f>
        <v>130578</v>
      </c>
      <c r="G119" s="167">
        <v>0</v>
      </c>
      <c r="H119" s="206">
        <f t="shared" si="67"/>
        <v>155085.70241875757</v>
      </c>
      <c r="I119" s="166">
        <v>1997</v>
      </c>
      <c r="J119" s="166">
        <v>0</v>
      </c>
      <c r="K119" s="177">
        <f>IrrigationSystem2HolesLife</f>
        <v>40</v>
      </c>
      <c r="L119" s="169"/>
      <c r="M119" s="168">
        <f t="shared" si="80"/>
        <v>0</v>
      </c>
      <c r="N119" s="168">
        <f t="shared" si="80"/>
        <v>0</v>
      </c>
      <c r="O119" s="168">
        <f t="shared" si="80"/>
        <v>0</v>
      </c>
      <c r="P119" s="168">
        <f t="shared" si="80"/>
        <v>0</v>
      </c>
      <c r="Q119" s="168">
        <f t="shared" si="80"/>
        <v>0</v>
      </c>
      <c r="R119" s="168">
        <f t="shared" si="80"/>
        <v>0</v>
      </c>
      <c r="S119" s="168">
        <f t="shared" si="80"/>
        <v>0</v>
      </c>
      <c r="T119" s="168">
        <f t="shared" si="80"/>
        <v>0</v>
      </c>
      <c r="U119" s="168">
        <f t="shared" si="80"/>
        <v>0</v>
      </c>
      <c r="V119" s="168">
        <f t="shared" si="80"/>
        <v>0</v>
      </c>
      <c r="W119" s="168">
        <f t="shared" si="81"/>
        <v>0</v>
      </c>
      <c r="X119" s="168">
        <f t="shared" si="81"/>
        <v>0</v>
      </c>
      <c r="Y119" s="168">
        <f t="shared" si="81"/>
        <v>0</v>
      </c>
      <c r="Z119" s="168">
        <f t="shared" si="81"/>
        <v>0</v>
      </c>
      <c r="AA119" s="168">
        <f t="shared" si="81"/>
        <v>0</v>
      </c>
      <c r="AB119" s="168">
        <f t="shared" si="81"/>
        <v>0</v>
      </c>
      <c r="AC119" s="168">
        <f t="shared" si="81"/>
        <v>0</v>
      </c>
      <c r="AD119" s="168">
        <f t="shared" si="81"/>
        <v>278329</v>
      </c>
      <c r="AE119" s="168">
        <f t="shared" si="81"/>
        <v>0</v>
      </c>
      <c r="AF119" s="168">
        <f t="shared" si="81"/>
        <v>0</v>
      </c>
      <c r="AG119" s="168">
        <f t="shared" si="82"/>
        <v>0</v>
      </c>
      <c r="AH119" s="168">
        <f t="shared" si="82"/>
        <v>0</v>
      </c>
      <c r="AI119" s="168">
        <f t="shared" si="82"/>
        <v>0</v>
      </c>
      <c r="AJ119" s="168">
        <f t="shared" si="82"/>
        <v>0</v>
      </c>
      <c r="AK119" s="168">
        <f t="shared" si="82"/>
        <v>0</v>
      </c>
      <c r="AL119" s="168">
        <f t="shared" si="82"/>
        <v>0</v>
      </c>
      <c r="AM119" s="168">
        <f t="shared" si="82"/>
        <v>0</v>
      </c>
      <c r="AN119" s="168">
        <f t="shared" si="82"/>
        <v>0</v>
      </c>
      <c r="AO119" s="168">
        <f t="shared" si="82"/>
        <v>0</v>
      </c>
      <c r="AP119" s="168">
        <f t="shared" si="82"/>
        <v>0</v>
      </c>
      <c r="AQ119" s="170"/>
      <c r="AR119" s="171">
        <f t="shared" si="83"/>
        <v>278329.0001</v>
      </c>
      <c r="AT119" s="166">
        <f t="shared" si="84"/>
        <v>1997</v>
      </c>
      <c r="AU119" s="166">
        <f t="shared" si="85"/>
        <v>0</v>
      </c>
      <c r="AV119" s="166">
        <v>100</v>
      </c>
      <c r="AW119" s="241">
        <f t="shared" si="86"/>
        <v>0</v>
      </c>
      <c r="AX119" s="166">
        <f t="shared" si="87"/>
        <v>0</v>
      </c>
      <c r="AY119" s="166">
        <f t="shared" si="88"/>
        <v>0</v>
      </c>
      <c r="AZ119" s="242">
        <f t="shared" si="89"/>
        <v>0</v>
      </c>
      <c r="BA119" s="234">
        <f t="shared" si="54"/>
        <v>0</v>
      </c>
      <c r="BB119" s="235">
        <f t="shared" si="55"/>
        <v>0</v>
      </c>
      <c r="BC119" s="235">
        <f t="shared" si="56"/>
        <v>1</v>
      </c>
      <c r="BD119" s="236">
        <f t="shared" si="57"/>
        <v>0</v>
      </c>
    </row>
    <row r="120" spans="1:56" s="163" customFormat="1" ht="16.25" customHeight="1">
      <c r="A120" s="163" t="s">
        <v>232</v>
      </c>
      <c r="B120" s="163" t="s">
        <v>292</v>
      </c>
      <c r="C120" s="186" t="s">
        <v>240</v>
      </c>
      <c r="D120" s="165">
        <v>1</v>
      </c>
      <c r="E120" s="177">
        <f>Irrigationsystem2holescostyear</f>
        <v>2015</v>
      </c>
      <c r="F120" s="203">
        <f>D120*IrrigationSystem2HolesUnitcost</f>
        <v>130578</v>
      </c>
      <c r="G120" s="167">
        <v>0</v>
      </c>
      <c r="H120" s="206">
        <f t="shared" si="67"/>
        <v>155085.70241875757</v>
      </c>
      <c r="I120" s="166">
        <v>1998</v>
      </c>
      <c r="J120" s="166">
        <v>0</v>
      </c>
      <c r="K120" s="177">
        <f>IrrigationSystem2HolesLife</f>
        <v>40</v>
      </c>
      <c r="L120" s="169"/>
      <c r="M120" s="168">
        <f t="shared" si="80"/>
        <v>0</v>
      </c>
      <c r="N120" s="168">
        <f t="shared" si="80"/>
        <v>0</v>
      </c>
      <c r="O120" s="168">
        <f t="shared" si="80"/>
        <v>0</v>
      </c>
      <c r="P120" s="168">
        <f t="shared" si="80"/>
        <v>0</v>
      </c>
      <c r="Q120" s="168">
        <f t="shared" si="80"/>
        <v>0</v>
      </c>
      <c r="R120" s="168">
        <f t="shared" si="80"/>
        <v>0</v>
      </c>
      <c r="S120" s="168">
        <f t="shared" si="80"/>
        <v>0</v>
      </c>
      <c r="T120" s="168">
        <f t="shared" si="80"/>
        <v>0</v>
      </c>
      <c r="U120" s="168">
        <f t="shared" si="80"/>
        <v>0</v>
      </c>
      <c r="V120" s="168">
        <f t="shared" si="80"/>
        <v>0</v>
      </c>
      <c r="W120" s="168">
        <f t="shared" si="81"/>
        <v>0</v>
      </c>
      <c r="X120" s="168">
        <f t="shared" si="81"/>
        <v>0</v>
      </c>
      <c r="Y120" s="168">
        <f t="shared" si="81"/>
        <v>0</v>
      </c>
      <c r="Z120" s="168">
        <f t="shared" si="81"/>
        <v>0</v>
      </c>
      <c r="AA120" s="168">
        <f t="shared" si="81"/>
        <v>0</v>
      </c>
      <c r="AB120" s="168">
        <f t="shared" si="81"/>
        <v>0</v>
      </c>
      <c r="AC120" s="168">
        <f t="shared" si="81"/>
        <v>0</v>
      </c>
      <c r="AD120" s="168">
        <f t="shared" si="81"/>
        <v>0</v>
      </c>
      <c r="AE120" s="168">
        <f t="shared" si="81"/>
        <v>288070</v>
      </c>
      <c r="AF120" s="168">
        <f t="shared" si="81"/>
        <v>0</v>
      </c>
      <c r="AG120" s="168">
        <f t="shared" si="82"/>
        <v>0</v>
      </c>
      <c r="AH120" s="168">
        <f t="shared" si="82"/>
        <v>0</v>
      </c>
      <c r="AI120" s="168">
        <f t="shared" si="82"/>
        <v>0</v>
      </c>
      <c r="AJ120" s="168">
        <f t="shared" si="82"/>
        <v>0</v>
      </c>
      <c r="AK120" s="168">
        <f t="shared" si="82"/>
        <v>0</v>
      </c>
      <c r="AL120" s="168">
        <f t="shared" si="82"/>
        <v>0</v>
      </c>
      <c r="AM120" s="168">
        <f t="shared" si="82"/>
        <v>0</v>
      </c>
      <c r="AN120" s="168">
        <f t="shared" si="82"/>
        <v>0</v>
      </c>
      <c r="AO120" s="168">
        <f t="shared" si="82"/>
        <v>0</v>
      </c>
      <c r="AP120" s="168">
        <f t="shared" si="82"/>
        <v>0</v>
      </c>
      <c r="AQ120" s="170"/>
      <c r="AR120" s="171">
        <f t="shared" si="83"/>
        <v>288070.0001</v>
      </c>
      <c r="AT120" s="166">
        <f t="shared" si="84"/>
        <v>1998</v>
      </c>
      <c r="AU120" s="166">
        <f t="shared" si="85"/>
        <v>0</v>
      </c>
      <c r="AV120" s="166">
        <v>100</v>
      </c>
      <c r="AW120" s="241">
        <f t="shared" si="86"/>
        <v>0</v>
      </c>
      <c r="AX120" s="166">
        <f t="shared" si="87"/>
        <v>0</v>
      </c>
      <c r="AY120" s="166">
        <f t="shared" si="88"/>
        <v>0</v>
      </c>
      <c r="AZ120" s="242">
        <f t="shared" si="89"/>
        <v>0</v>
      </c>
      <c r="BA120" s="234">
        <f t="shared" si="54"/>
        <v>0</v>
      </c>
      <c r="BB120" s="235">
        <f t="shared" si="55"/>
        <v>0</v>
      </c>
      <c r="BC120" s="235">
        <f t="shared" si="56"/>
        <v>1</v>
      </c>
      <c r="BD120" s="236">
        <f t="shared" si="57"/>
        <v>0</v>
      </c>
    </row>
    <row r="121" spans="1:56" s="163" customFormat="1" ht="16.25" customHeight="1">
      <c r="A121" s="163" t="s">
        <v>232</v>
      </c>
      <c r="B121" s="163" t="s">
        <v>292</v>
      </c>
      <c r="C121" s="186" t="s">
        <v>241</v>
      </c>
      <c r="D121" s="165">
        <v>1</v>
      </c>
      <c r="E121" s="177">
        <f>Irrigationsystem2holescostyear</f>
        <v>2015</v>
      </c>
      <c r="F121" s="203">
        <f>D121*IrrigationSystem2HolesUnitcost</f>
        <v>130578</v>
      </c>
      <c r="G121" s="167">
        <v>0</v>
      </c>
      <c r="H121" s="206">
        <f t="shared" si="67"/>
        <v>155085.70241875757</v>
      </c>
      <c r="I121" s="166">
        <v>1999</v>
      </c>
      <c r="J121" s="166">
        <v>0</v>
      </c>
      <c r="K121" s="177">
        <f>IrrigationSystem2HolesLife</f>
        <v>40</v>
      </c>
      <c r="L121" s="169"/>
      <c r="M121" s="168">
        <f t="shared" si="80"/>
        <v>0</v>
      </c>
      <c r="N121" s="168">
        <f t="shared" si="80"/>
        <v>0</v>
      </c>
      <c r="O121" s="168">
        <f t="shared" si="80"/>
        <v>0</v>
      </c>
      <c r="P121" s="168">
        <f t="shared" si="80"/>
        <v>0</v>
      </c>
      <c r="Q121" s="168">
        <f t="shared" si="80"/>
        <v>0</v>
      </c>
      <c r="R121" s="168">
        <f t="shared" si="80"/>
        <v>0</v>
      </c>
      <c r="S121" s="168">
        <f t="shared" si="80"/>
        <v>0</v>
      </c>
      <c r="T121" s="168">
        <f t="shared" si="80"/>
        <v>0</v>
      </c>
      <c r="U121" s="168">
        <f t="shared" si="80"/>
        <v>0</v>
      </c>
      <c r="V121" s="168">
        <f t="shared" si="80"/>
        <v>0</v>
      </c>
      <c r="W121" s="168">
        <f t="shared" si="81"/>
        <v>0</v>
      </c>
      <c r="X121" s="168">
        <f t="shared" si="81"/>
        <v>0</v>
      </c>
      <c r="Y121" s="168">
        <f t="shared" si="81"/>
        <v>0</v>
      </c>
      <c r="Z121" s="168">
        <f t="shared" si="81"/>
        <v>0</v>
      </c>
      <c r="AA121" s="168">
        <f t="shared" si="81"/>
        <v>0</v>
      </c>
      <c r="AB121" s="168">
        <f t="shared" si="81"/>
        <v>0</v>
      </c>
      <c r="AC121" s="168">
        <f t="shared" si="81"/>
        <v>0</v>
      </c>
      <c r="AD121" s="168">
        <f t="shared" si="81"/>
        <v>0</v>
      </c>
      <c r="AE121" s="168">
        <f t="shared" si="81"/>
        <v>0</v>
      </c>
      <c r="AF121" s="168">
        <f t="shared" si="81"/>
        <v>298152</v>
      </c>
      <c r="AG121" s="168">
        <f t="shared" si="82"/>
        <v>0</v>
      </c>
      <c r="AH121" s="168">
        <f t="shared" si="82"/>
        <v>0</v>
      </c>
      <c r="AI121" s="168">
        <f t="shared" si="82"/>
        <v>0</v>
      </c>
      <c r="AJ121" s="168">
        <f t="shared" si="82"/>
        <v>0</v>
      </c>
      <c r="AK121" s="168">
        <f t="shared" si="82"/>
        <v>0</v>
      </c>
      <c r="AL121" s="168">
        <f t="shared" si="82"/>
        <v>0</v>
      </c>
      <c r="AM121" s="168">
        <f t="shared" si="82"/>
        <v>0</v>
      </c>
      <c r="AN121" s="168">
        <f t="shared" si="82"/>
        <v>0</v>
      </c>
      <c r="AO121" s="168">
        <f t="shared" si="82"/>
        <v>0</v>
      </c>
      <c r="AP121" s="168">
        <f t="shared" si="82"/>
        <v>0</v>
      </c>
      <c r="AQ121" s="170"/>
      <c r="AR121" s="171">
        <f t="shared" si="83"/>
        <v>298152.0001</v>
      </c>
      <c r="AT121" s="166">
        <f t="shared" si="84"/>
        <v>1999</v>
      </c>
      <c r="AU121" s="166">
        <f t="shared" si="85"/>
        <v>0</v>
      </c>
      <c r="AV121" s="166">
        <v>100</v>
      </c>
      <c r="AW121" s="241">
        <f t="shared" si="86"/>
        <v>0</v>
      </c>
      <c r="AX121" s="166">
        <f t="shared" si="87"/>
        <v>0</v>
      </c>
      <c r="AY121" s="166">
        <f t="shared" si="88"/>
        <v>0</v>
      </c>
      <c r="AZ121" s="242">
        <f t="shared" si="89"/>
        <v>0</v>
      </c>
      <c r="BA121" s="234">
        <f t="shared" si="54"/>
        <v>0</v>
      </c>
      <c r="BB121" s="235">
        <f t="shared" si="55"/>
        <v>0</v>
      </c>
      <c r="BC121" s="235">
        <f t="shared" si="56"/>
        <v>1</v>
      </c>
      <c r="BD121" s="236">
        <f t="shared" si="57"/>
        <v>0</v>
      </c>
    </row>
    <row r="122" spans="1:56" s="163" customFormat="1" ht="16.25" customHeight="1">
      <c r="A122" s="163" t="s">
        <v>232</v>
      </c>
      <c r="B122" s="163" t="s">
        <v>292</v>
      </c>
      <c r="C122" s="164" t="s">
        <v>312</v>
      </c>
      <c r="D122" s="165">
        <v>1</v>
      </c>
      <c r="E122" s="177">
        <f>Irrigationputtinggreencostyear</f>
        <v>2019</v>
      </c>
      <c r="F122" s="203">
        <f>D122*Irrigationputtinggreenunitcost</f>
        <v>9374</v>
      </c>
      <c r="G122" s="167">
        <v>0</v>
      </c>
      <c r="H122" s="206">
        <f t="shared" si="67"/>
        <v>9702.09</v>
      </c>
      <c r="I122" s="166">
        <v>2014</v>
      </c>
      <c r="J122" s="166"/>
      <c r="K122" s="177">
        <f>Irrigationputtinggreenlife</f>
        <v>30</v>
      </c>
      <c r="L122" s="169"/>
      <c r="M122" s="168">
        <f t="shared" si="80"/>
        <v>0</v>
      </c>
      <c r="N122" s="168">
        <f t="shared" si="80"/>
        <v>0</v>
      </c>
      <c r="O122" s="168">
        <f t="shared" si="80"/>
        <v>0</v>
      </c>
      <c r="P122" s="168">
        <f t="shared" si="80"/>
        <v>0</v>
      </c>
      <c r="Q122" s="168">
        <f t="shared" si="80"/>
        <v>0</v>
      </c>
      <c r="R122" s="168">
        <f t="shared" si="80"/>
        <v>0</v>
      </c>
      <c r="S122" s="168">
        <f t="shared" si="80"/>
        <v>0</v>
      </c>
      <c r="T122" s="168">
        <f t="shared" si="80"/>
        <v>0</v>
      </c>
      <c r="U122" s="168">
        <f t="shared" si="80"/>
        <v>0</v>
      </c>
      <c r="V122" s="168">
        <f t="shared" si="80"/>
        <v>0</v>
      </c>
      <c r="W122" s="168">
        <f t="shared" si="81"/>
        <v>0</v>
      </c>
      <c r="X122" s="168">
        <f t="shared" si="81"/>
        <v>0</v>
      </c>
      <c r="Y122" s="168">
        <f t="shared" si="81"/>
        <v>0</v>
      </c>
      <c r="Z122" s="168">
        <f t="shared" si="81"/>
        <v>0</v>
      </c>
      <c r="AA122" s="168">
        <f t="shared" si="81"/>
        <v>0</v>
      </c>
      <c r="AB122" s="168">
        <f t="shared" si="81"/>
        <v>0</v>
      </c>
      <c r="AC122" s="168">
        <f t="shared" si="81"/>
        <v>0</v>
      </c>
      <c r="AD122" s="168">
        <f t="shared" si="81"/>
        <v>0</v>
      </c>
      <c r="AE122" s="168">
        <f t="shared" si="81"/>
        <v>0</v>
      </c>
      <c r="AF122" s="168">
        <f t="shared" si="81"/>
        <v>0</v>
      </c>
      <c r="AG122" s="168">
        <f t="shared" si="82"/>
        <v>0</v>
      </c>
      <c r="AH122" s="168">
        <f t="shared" si="82"/>
        <v>0</v>
      </c>
      <c r="AI122" s="168">
        <f t="shared" si="82"/>
        <v>0</v>
      </c>
      <c r="AJ122" s="168">
        <f t="shared" si="82"/>
        <v>0</v>
      </c>
      <c r="AK122" s="168">
        <f t="shared" si="82"/>
        <v>22153</v>
      </c>
      <c r="AL122" s="168">
        <f t="shared" si="82"/>
        <v>0</v>
      </c>
      <c r="AM122" s="168">
        <f t="shared" si="82"/>
        <v>0</v>
      </c>
      <c r="AN122" s="168">
        <f t="shared" si="82"/>
        <v>0</v>
      </c>
      <c r="AO122" s="168">
        <f t="shared" si="82"/>
        <v>0</v>
      </c>
      <c r="AP122" s="168">
        <f t="shared" si="82"/>
        <v>0</v>
      </c>
      <c r="AQ122" s="170"/>
      <c r="AR122" s="171">
        <f t="shared" si="83"/>
        <v>22153.000100000001</v>
      </c>
      <c r="AT122" s="166">
        <f t="shared" si="84"/>
        <v>2014</v>
      </c>
      <c r="AU122" s="166">
        <f t="shared" si="85"/>
        <v>0</v>
      </c>
      <c r="AV122" s="166">
        <v>100</v>
      </c>
      <c r="AW122" s="241">
        <f t="shared" si="86"/>
        <v>0</v>
      </c>
      <c r="AX122" s="166">
        <f t="shared" si="87"/>
        <v>0</v>
      </c>
      <c r="AY122" s="166">
        <f t="shared" si="88"/>
        <v>0</v>
      </c>
      <c r="AZ122" s="242">
        <f t="shared" si="89"/>
        <v>0</v>
      </c>
      <c r="BA122" s="234">
        <f t="shared" si="54"/>
        <v>0</v>
      </c>
      <c r="BB122" s="235">
        <f t="shared" si="55"/>
        <v>0</v>
      </c>
      <c r="BC122" s="235">
        <f t="shared" si="56"/>
        <v>1</v>
      </c>
      <c r="BD122" s="236">
        <f t="shared" si="57"/>
        <v>0</v>
      </c>
    </row>
    <row r="123" spans="1:56" s="163" customFormat="1" ht="16.25" customHeight="1">
      <c r="A123" s="163" t="s">
        <v>232</v>
      </c>
      <c r="B123" s="163" t="s">
        <v>292</v>
      </c>
      <c r="C123" s="163" t="s">
        <v>66</v>
      </c>
      <c r="D123" s="165">
        <v>1</v>
      </c>
      <c r="E123" s="177">
        <f>Lakeaeratorlargecostyear</f>
        <v>2017</v>
      </c>
      <c r="F123" s="206">
        <f>D123*Lakeaeratorlargeunitcost</f>
        <v>6141</v>
      </c>
      <c r="G123" s="167">
        <v>0</v>
      </c>
      <c r="H123" s="206">
        <f t="shared" si="67"/>
        <v>6808.6364703749987</v>
      </c>
      <c r="I123" s="166">
        <v>2016</v>
      </c>
      <c r="J123" s="166">
        <v>0</v>
      </c>
      <c r="K123" s="177">
        <f>Lakeaeratorlargelife</f>
        <v>10</v>
      </c>
      <c r="L123" s="169" t="s">
        <v>415</v>
      </c>
      <c r="M123" s="168">
        <f t="shared" si="80"/>
        <v>0</v>
      </c>
      <c r="N123" s="168">
        <f t="shared" si="80"/>
        <v>0</v>
      </c>
      <c r="O123" s="168">
        <f t="shared" si="80"/>
        <v>0</v>
      </c>
      <c r="P123" s="168">
        <f t="shared" si="80"/>
        <v>0</v>
      </c>
      <c r="Q123" s="168">
        <f t="shared" si="80"/>
        <v>0</v>
      </c>
      <c r="R123" s="168">
        <f t="shared" si="80"/>
        <v>0</v>
      </c>
      <c r="S123" s="168">
        <f t="shared" si="80"/>
        <v>8370</v>
      </c>
      <c r="T123" s="168">
        <f t="shared" si="80"/>
        <v>0</v>
      </c>
      <c r="U123" s="168">
        <f t="shared" si="80"/>
        <v>0</v>
      </c>
      <c r="V123" s="168">
        <f t="shared" si="80"/>
        <v>0</v>
      </c>
      <c r="W123" s="168">
        <f t="shared" si="81"/>
        <v>0</v>
      </c>
      <c r="X123" s="168">
        <f t="shared" si="81"/>
        <v>0</v>
      </c>
      <c r="Y123" s="168">
        <f t="shared" si="81"/>
        <v>0</v>
      </c>
      <c r="Z123" s="168">
        <f t="shared" si="81"/>
        <v>0</v>
      </c>
      <c r="AA123" s="168">
        <f t="shared" si="81"/>
        <v>0</v>
      </c>
      <c r="AB123" s="168">
        <f t="shared" si="81"/>
        <v>0</v>
      </c>
      <c r="AC123" s="168">
        <f t="shared" si="81"/>
        <v>11806</v>
      </c>
      <c r="AD123" s="168">
        <f t="shared" si="81"/>
        <v>0</v>
      </c>
      <c r="AE123" s="168">
        <f t="shared" si="81"/>
        <v>0</v>
      </c>
      <c r="AF123" s="168">
        <f t="shared" si="81"/>
        <v>0</v>
      </c>
      <c r="AG123" s="168">
        <f t="shared" si="82"/>
        <v>0</v>
      </c>
      <c r="AH123" s="168">
        <f t="shared" si="82"/>
        <v>0</v>
      </c>
      <c r="AI123" s="168">
        <f t="shared" si="82"/>
        <v>0</v>
      </c>
      <c r="AJ123" s="168">
        <f t="shared" si="82"/>
        <v>0</v>
      </c>
      <c r="AK123" s="168">
        <f t="shared" si="82"/>
        <v>0</v>
      </c>
      <c r="AL123" s="168">
        <f t="shared" si="82"/>
        <v>0</v>
      </c>
      <c r="AM123" s="168">
        <f t="shared" si="82"/>
        <v>16654</v>
      </c>
      <c r="AN123" s="168">
        <f t="shared" si="82"/>
        <v>0</v>
      </c>
      <c r="AO123" s="168">
        <f t="shared" si="82"/>
        <v>0</v>
      </c>
      <c r="AP123" s="168">
        <f t="shared" si="82"/>
        <v>0</v>
      </c>
      <c r="AQ123" s="170"/>
      <c r="AR123" s="171">
        <f t="shared" si="83"/>
        <v>36830.000099999997</v>
      </c>
      <c r="AT123" s="166">
        <f t="shared" si="84"/>
        <v>2016</v>
      </c>
      <c r="AU123" s="166">
        <f t="shared" si="85"/>
        <v>0</v>
      </c>
      <c r="AV123" s="166">
        <v>100</v>
      </c>
      <c r="AW123" s="241">
        <f t="shared" si="86"/>
        <v>1</v>
      </c>
      <c r="AX123" s="166">
        <f t="shared" si="87"/>
        <v>0</v>
      </c>
      <c r="AY123" s="166">
        <f t="shared" si="88"/>
        <v>0</v>
      </c>
      <c r="AZ123" s="242">
        <f t="shared" si="89"/>
        <v>0</v>
      </c>
      <c r="BA123" s="234">
        <f t="shared" si="54"/>
        <v>0</v>
      </c>
      <c r="BB123" s="235">
        <f t="shared" si="55"/>
        <v>0</v>
      </c>
      <c r="BC123" s="235">
        <f t="shared" si="56"/>
        <v>1</v>
      </c>
      <c r="BD123" s="236">
        <f t="shared" si="57"/>
        <v>0</v>
      </c>
    </row>
    <row r="124" spans="1:56" s="163" customFormat="1" ht="16.25" customHeight="1">
      <c r="A124" s="163" t="s">
        <v>232</v>
      </c>
      <c r="B124" s="163" t="s">
        <v>292</v>
      </c>
      <c r="C124" s="163" t="s">
        <v>65</v>
      </c>
      <c r="D124" s="165">
        <v>1</v>
      </c>
      <c r="E124" s="177">
        <f>Lakeaeratornorthcostyear</f>
        <v>2017</v>
      </c>
      <c r="F124" s="206">
        <f>D124*Lakeaeratornorthunitcost</f>
        <v>6141</v>
      </c>
      <c r="G124" s="167">
        <v>0</v>
      </c>
      <c r="H124" s="206">
        <f t="shared" si="67"/>
        <v>6808.6364703749987</v>
      </c>
      <c r="I124" s="166">
        <v>2011</v>
      </c>
      <c r="J124" s="166">
        <v>0</v>
      </c>
      <c r="K124" s="177">
        <f>Lakeaeratornorthlife</f>
        <v>10</v>
      </c>
      <c r="L124" s="169" t="s">
        <v>415</v>
      </c>
      <c r="M124" s="168">
        <f t="shared" si="80"/>
        <v>0</v>
      </c>
      <c r="N124" s="168">
        <f t="shared" si="80"/>
        <v>7047</v>
      </c>
      <c r="O124" s="168">
        <f t="shared" si="80"/>
        <v>0</v>
      </c>
      <c r="P124" s="168">
        <f t="shared" si="80"/>
        <v>0</v>
      </c>
      <c r="Q124" s="168">
        <f t="shared" si="80"/>
        <v>0</v>
      </c>
      <c r="R124" s="168">
        <f t="shared" si="80"/>
        <v>0</v>
      </c>
      <c r="S124" s="168">
        <f t="shared" si="80"/>
        <v>0</v>
      </c>
      <c r="T124" s="168">
        <f t="shared" si="80"/>
        <v>0</v>
      </c>
      <c r="U124" s="168">
        <f t="shared" si="80"/>
        <v>0</v>
      </c>
      <c r="V124" s="168">
        <f t="shared" si="80"/>
        <v>0</v>
      </c>
      <c r="W124" s="168">
        <f t="shared" si="81"/>
        <v>0</v>
      </c>
      <c r="X124" s="168">
        <f t="shared" si="81"/>
        <v>9940</v>
      </c>
      <c r="Y124" s="168">
        <f t="shared" si="81"/>
        <v>0</v>
      </c>
      <c r="Z124" s="168">
        <f t="shared" si="81"/>
        <v>0</v>
      </c>
      <c r="AA124" s="168">
        <f t="shared" si="81"/>
        <v>0</v>
      </c>
      <c r="AB124" s="168">
        <f t="shared" si="81"/>
        <v>0</v>
      </c>
      <c r="AC124" s="168">
        <f t="shared" si="81"/>
        <v>0</v>
      </c>
      <c r="AD124" s="168">
        <f t="shared" si="81"/>
        <v>0</v>
      </c>
      <c r="AE124" s="168">
        <f t="shared" si="81"/>
        <v>0</v>
      </c>
      <c r="AF124" s="168">
        <f t="shared" si="81"/>
        <v>0</v>
      </c>
      <c r="AG124" s="168">
        <f t="shared" si="82"/>
        <v>0</v>
      </c>
      <c r="AH124" s="168">
        <f t="shared" si="82"/>
        <v>14022</v>
      </c>
      <c r="AI124" s="168">
        <f t="shared" si="82"/>
        <v>0</v>
      </c>
      <c r="AJ124" s="168">
        <f t="shared" si="82"/>
        <v>0</v>
      </c>
      <c r="AK124" s="168">
        <f t="shared" si="82"/>
        <v>0</v>
      </c>
      <c r="AL124" s="168">
        <f t="shared" si="82"/>
        <v>0</v>
      </c>
      <c r="AM124" s="168">
        <f t="shared" si="82"/>
        <v>0</v>
      </c>
      <c r="AN124" s="168">
        <f t="shared" si="82"/>
        <v>0</v>
      </c>
      <c r="AO124" s="168">
        <f t="shared" si="82"/>
        <v>0</v>
      </c>
      <c r="AP124" s="168">
        <f t="shared" si="82"/>
        <v>0</v>
      </c>
      <c r="AQ124" s="170"/>
      <c r="AR124" s="171">
        <f t="shared" si="83"/>
        <v>31009.000100000001</v>
      </c>
      <c r="AT124" s="166">
        <f t="shared" si="84"/>
        <v>2011</v>
      </c>
      <c r="AU124" s="166">
        <f t="shared" si="85"/>
        <v>0</v>
      </c>
      <c r="AV124" s="166">
        <v>100</v>
      </c>
      <c r="AW124" s="241">
        <f t="shared" si="86"/>
        <v>1</v>
      </c>
      <c r="AX124" s="166">
        <f t="shared" si="87"/>
        <v>0</v>
      </c>
      <c r="AY124" s="166">
        <f t="shared" si="88"/>
        <v>0</v>
      </c>
      <c r="AZ124" s="242">
        <f t="shared" si="89"/>
        <v>0</v>
      </c>
      <c r="BA124" s="234">
        <f t="shared" si="54"/>
        <v>0</v>
      </c>
      <c r="BB124" s="235">
        <f t="shared" si="55"/>
        <v>0</v>
      </c>
      <c r="BC124" s="235">
        <f t="shared" si="56"/>
        <v>1</v>
      </c>
      <c r="BD124" s="236">
        <f t="shared" si="57"/>
        <v>0</v>
      </c>
    </row>
    <row r="125" spans="1:56" s="163" customFormat="1" ht="16.25" customHeight="1">
      <c r="A125" s="163" t="s">
        <v>232</v>
      </c>
      <c r="B125" s="163" t="s">
        <v>292</v>
      </c>
      <c r="C125" s="163" t="s">
        <v>67</v>
      </c>
      <c r="D125" s="165">
        <v>1</v>
      </c>
      <c r="E125" s="177">
        <f>Lakefountainlargecostyear</f>
        <v>2019</v>
      </c>
      <c r="F125" s="206">
        <f>D125*Lakefountainlargeunitcost</f>
        <v>10242</v>
      </c>
      <c r="G125" s="167">
        <v>0</v>
      </c>
      <c r="H125" s="206">
        <f t="shared" si="67"/>
        <v>10600.47</v>
      </c>
      <c r="I125" s="166">
        <v>2016</v>
      </c>
      <c r="J125" s="166">
        <v>0</v>
      </c>
      <c r="K125" s="177">
        <f>Lakefountainlargelife</f>
        <v>10</v>
      </c>
      <c r="L125" s="169" t="s">
        <v>415</v>
      </c>
      <c r="M125" s="168">
        <f t="shared" si="80"/>
        <v>0</v>
      </c>
      <c r="N125" s="168">
        <f t="shared" si="80"/>
        <v>0</v>
      </c>
      <c r="O125" s="168">
        <f t="shared" si="80"/>
        <v>0</v>
      </c>
      <c r="P125" s="168">
        <f t="shared" si="80"/>
        <v>0</v>
      </c>
      <c r="Q125" s="168">
        <f t="shared" si="80"/>
        <v>0</v>
      </c>
      <c r="R125" s="168">
        <f t="shared" si="80"/>
        <v>0</v>
      </c>
      <c r="S125" s="168">
        <f t="shared" si="80"/>
        <v>13031</v>
      </c>
      <c r="T125" s="168">
        <f t="shared" si="80"/>
        <v>0</v>
      </c>
      <c r="U125" s="168">
        <f t="shared" si="80"/>
        <v>0</v>
      </c>
      <c r="V125" s="168">
        <f t="shared" si="80"/>
        <v>0</v>
      </c>
      <c r="W125" s="168">
        <f t="shared" si="81"/>
        <v>0</v>
      </c>
      <c r="X125" s="168">
        <f t="shared" si="81"/>
        <v>0</v>
      </c>
      <c r="Y125" s="168">
        <f t="shared" si="81"/>
        <v>0</v>
      </c>
      <c r="Z125" s="168">
        <f t="shared" si="81"/>
        <v>0</v>
      </c>
      <c r="AA125" s="168">
        <f t="shared" si="81"/>
        <v>0</v>
      </c>
      <c r="AB125" s="168">
        <f t="shared" si="81"/>
        <v>0</v>
      </c>
      <c r="AC125" s="168">
        <f t="shared" si="81"/>
        <v>18381</v>
      </c>
      <c r="AD125" s="168">
        <f t="shared" si="81"/>
        <v>0</v>
      </c>
      <c r="AE125" s="168">
        <f t="shared" si="81"/>
        <v>0</v>
      </c>
      <c r="AF125" s="168">
        <f t="shared" si="81"/>
        <v>0</v>
      </c>
      <c r="AG125" s="168">
        <f t="shared" si="82"/>
        <v>0</v>
      </c>
      <c r="AH125" s="168">
        <f t="shared" si="82"/>
        <v>0</v>
      </c>
      <c r="AI125" s="168">
        <f t="shared" si="82"/>
        <v>0</v>
      </c>
      <c r="AJ125" s="168">
        <f t="shared" si="82"/>
        <v>0</v>
      </c>
      <c r="AK125" s="168">
        <f t="shared" si="82"/>
        <v>0</v>
      </c>
      <c r="AL125" s="168">
        <f t="shared" si="82"/>
        <v>0</v>
      </c>
      <c r="AM125" s="168">
        <f t="shared" si="82"/>
        <v>25928</v>
      </c>
      <c r="AN125" s="168">
        <f t="shared" si="82"/>
        <v>0</v>
      </c>
      <c r="AO125" s="168">
        <f t="shared" si="82"/>
        <v>0</v>
      </c>
      <c r="AP125" s="168">
        <f t="shared" si="82"/>
        <v>0</v>
      </c>
      <c r="AQ125" s="170"/>
      <c r="AR125" s="171">
        <f t="shared" si="83"/>
        <v>57340.000099999997</v>
      </c>
      <c r="AT125" s="166">
        <f t="shared" si="84"/>
        <v>2016</v>
      </c>
      <c r="AU125" s="166">
        <f t="shared" si="85"/>
        <v>0</v>
      </c>
      <c r="AV125" s="166">
        <v>100</v>
      </c>
      <c r="AW125" s="241">
        <f t="shared" si="86"/>
        <v>1</v>
      </c>
      <c r="AX125" s="166">
        <f t="shared" si="87"/>
        <v>0</v>
      </c>
      <c r="AY125" s="166">
        <f t="shared" si="88"/>
        <v>0</v>
      </c>
      <c r="AZ125" s="242">
        <f t="shared" si="89"/>
        <v>0</v>
      </c>
      <c r="BA125" s="234">
        <f t="shared" si="54"/>
        <v>0</v>
      </c>
      <c r="BB125" s="235">
        <f t="shared" si="55"/>
        <v>0</v>
      </c>
      <c r="BC125" s="235">
        <f t="shared" si="56"/>
        <v>1</v>
      </c>
      <c r="BD125" s="236">
        <f t="shared" si="57"/>
        <v>0</v>
      </c>
    </row>
    <row r="126" spans="1:56" s="163" customFormat="1" ht="16.25" customHeight="1">
      <c r="A126" s="163" t="s">
        <v>232</v>
      </c>
      <c r="B126" s="163" t="s">
        <v>292</v>
      </c>
      <c r="C126" s="163" t="s">
        <v>68</v>
      </c>
      <c r="D126" s="165">
        <v>1</v>
      </c>
      <c r="E126" s="177">
        <f>Lakefountainnorthcostyear</f>
        <v>2019</v>
      </c>
      <c r="F126" s="206">
        <f>D126*Lakefountainnorthunitcost</f>
        <v>10242</v>
      </c>
      <c r="G126" s="167">
        <v>0</v>
      </c>
      <c r="H126" s="206">
        <f t="shared" ref="H126:H157" si="90">IF(F126*((1+InflationRate)^(AnalysisYear-E126))&lt;MinimumProjectCost,0,F126*((1+InflationRate)^(AnalysisYear-E126)))</f>
        <v>10600.47</v>
      </c>
      <c r="I126" s="166">
        <v>2010</v>
      </c>
      <c r="J126" s="166">
        <v>0</v>
      </c>
      <c r="K126" s="177">
        <f>Lakefountainnorthlife</f>
        <v>10</v>
      </c>
      <c r="L126" s="169" t="s">
        <v>415</v>
      </c>
      <c r="M126" s="168">
        <f t="shared" si="80"/>
        <v>10600</v>
      </c>
      <c r="N126" s="168">
        <f t="shared" si="80"/>
        <v>0</v>
      </c>
      <c r="O126" s="168">
        <f t="shared" si="80"/>
        <v>0</v>
      </c>
      <c r="P126" s="168">
        <f t="shared" si="80"/>
        <v>0</v>
      </c>
      <c r="Q126" s="168">
        <f t="shared" si="80"/>
        <v>0</v>
      </c>
      <c r="R126" s="168">
        <f t="shared" si="80"/>
        <v>0</v>
      </c>
      <c r="S126" s="168">
        <f t="shared" si="80"/>
        <v>0</v>
      </c>
      <c r="T126" s="168">
        <f t="shared" si="80"/>
        <v>0</v>
      </c>
      <c r="U126" s="168">
        <f t="shared" si="80"/>
        <v>0</v>
      </c>
      <c r="V126" s="168">
        <f t="shared" si="80"/>
        <v>0</v>
      </c>
      <c r="W126" s="168">
        <f t="shared" si="81"/>
        <v>14953</v>
      </c>
      <c r="X126" s="168">
        <f t="shared" si="81"/>
        <v>0</v>
      </c>
      <c r="Y126" s="168">
        <f t="shared" si="81"/>
        <v>0</v>
      </c>
      <c r="Z126" s="168">
        <f t="shared" si="81"/>
        <v>0</v>
      </c>
      <c r="AA126" s="168">
        <f t="shared" si="81"/>
        <v>0</v>
      </c>
      <c r="AB126" s="168">
        <f t="shared" si="81"/>
        <v>0</v>
      </c>
      <c r="AC126" s="168">
        <f t="shared" si="81"/>
        <v>0</v>
      </c>
      <c r="AD126" s="168">
        <f t="shared" si="81"/>
        <v>0</v>
      </c>
      <c r="AE126" s="168">
        <f t="shared" si="81"/>
        <v>0</v>
      </c>
      <c r="AF126" s="168">
        <f t="shared" si="81"/>
        <v>0</v>
      </c>
      <c r="AG126" s="168">
        <f t="shared" si="82"/>
        <v>21093</v>
      </c>
      <c r="AH126" s="168">
        <f t="shared" si="82"/>
        <v>0</v>
      </c>
      <c r="AI126" s="168">
        <f t="shared" si="82"/>
        <v>0</v>
      </c>
      <c r="AJ126" s="168">
        <f t="shared" si="82"/>
        <v>0</v>
      </c>
      <c r="AK126" s="168">
        <f t="shared" si="82"/>
        <v>0</v>
      </c>
      <c r="AL126" s="168">
        <f t="shared" si="82"/>
        <v>0</v>
      </c>
      <c r="AM126" s="168">
        <f t="shared" si="82"/>
        <v>0</v>
      </c>
      <c r="AN126" s="168">
        <f t="shared" si="82"/>
        <v>0</v>
      </c>
      <c r="AO126" s="168">
        <f t="shared" si="82"/>
        <v>0</v>
      </c>
      <c r="AP126" s="168">
        <f t="shared" si="82"/>
        <v>0</v>
      </c>
      <c r="AQ126" s="170"/>
      <c r="AR126" s="171">
        <f t="shared" si="83"/>
        <v>46646.000099999997</v>
      </c>
      <c r="AT126" s="166">
        <f t="shared" si="84"/>
        <v>2010</v>
      </c>
      <c r="AU126" s="166">
        <f t="shared" si="85"/>
        <v>0</v>
      </c>
      <c r="AV126" s="166">
        <v>100</v>
      </c>
      <c r="AW126" s="241">
        <f t="shared" si="86"/>
        <v>1</v>
      </c>
      <c r="AX126" s="166">
        <f t="shared" si="87"/>
        <v>0</v>
      </c>
      <c r="AY126" s="166">
        <f t="shared" si="88"/>
        <v>0</v>
      </c>
      <c r="AZ126" s="242">
        <f t="shared" si="89"/>
        <v>0</v>
      </c>
      <c r="BA126" s="234">
        <f t="shared" si="54"/>
        <v>0</v>
      </c>
      <c r="BB126" s="235">
        <f t="shared" si="55"/>
        <v>0</v>
      </c>
      <c r="BC126" s="235">
        <f t="shared" si="56"/>
        <v>1</v>
      </c>
      <c r="BD126" s="236">
        <f t="shared" si="57"/>
        <v>0</v>
      </c>
    </row>
    <row r="127" spans="1:56" s="163" customFormat="1" ht="16.25" customHeight="1">
      <c r="A127" s="163" t="s">
        <v>232</v>
      </c>
      <c r="B127" s="163" t="s">
        <v>292</v>
      </c>
      <c r="C127" s="163" t="s">
        <v>102</v>
      </c>
      <c r="D127" s="165">
        <v>1</v>
      </c>
      <c r="E127" s="177">
        <f>Pondrepairscostyear</f>
        <v>2016</v>
      </c>
      <c r="F127" s="203">
        <f>D127*pondrepairsunitcost</f>
        <v>210000</v>
      </c>
      <c r="G127" s="167">
        <v>0</v>
      </c>
      <c r="H127" s="206">
        <f t="shared" si="90"/>
        <v>240979.83013124994</v>
      </c>
      <c r="I127" s="175">
        <v>1992</v>
      </c>
      <c r="K127" s="208">
        <f>pondrepairslife</f>
        <v>30</v>
      </c>
      <c r="L127" s="169"/>
      <c r="M127" s="168">
        <f t="shared" si="80"/>
        <v>0</v>
      </c>
      <c r="N127" s="168">
        <f t="shared" si="80"/>
        <v>0</v>
      </c>
      <c r="O127" s="168">
        <f t="shared" si="80"/>
        <v>258144</v>
      </c>
      <c r="P127" s="168">
        <f t="shared" si="80"/>
        <v>0</v>
      </c>
      <c r="Q127" s="168">
        <f t="shared" si="80"/>
        <v>0</v>
      </c>
      <c r="R127" s="168">
        <f t="shared" si="80"/>
        <v>0</v>
      </c>
      <c r="S127" s="168">
        <f t="shared" si="80"/>
        <v>0</v>
      </c>
      <c r="T127" s="168">
        <f t="shared" si="80"/>
        <v>0</v>
      </c>
      <c r="U127" s="168">
        <f t="shared" si="80"/>
        <v>0</v>
      </c>
      <c r="V127" s="168">
        <f t="shared" si="80"/>
        <v>0</v>
      </c>
      <c r="W127" s="168">
        <f t="shared" si="81"/>
        <v>0</v>
      </c>
      <c r="X127" s="168">
        <f t="shared" si="81"/>
        <v>0</v>
      </c>
      <c r="Y127" s="168">
        <f t="shared" si="81"/>
        <v>0</v>
      </c>
      <c r="Z127" s="168">
        <f t="shared" si="81"/>
        <v>0</v>
      </c>
      <c r="AA127" s="168">
        <f t="shared" si="81"/>
        <v>0</v>
      </c>
      <c r="AB127" s="168">
        <f t="shared" si="81"/>
        <v>0</v>
      </c>
      <c r="AC127" s="168">
        <f t="shared" si="81"/>
        <v>0</v>
      </c>
      <c r="AD127" s="168">
        <f t="shared" si="81"/>
        <v>0</v>
      </c>
      <c r="AE127" s="168">
        <f t="shared" si="81"/>
        <v>0</v>
      </c>
      <c r="AF127" s="168">
        <f t="shared" si="81"/>
        <v>0</v>
      </c>
      <c r="AG127" s="168">
        <f t="shared" si="82"/>
        <v>0</v>
      </c>
      <c r="AH127" s="168">
        <f t="shared" si="82"/>
        <v>0</v>
      </c>
      <c r="AI127" s="168">
        <f t="shared" si="82"/>
        <v>0</v>
      </c>
      <c r="AJ127" s="168">
        <f t="shared" si="82"/>
        <v>0</v>
      </c>
      <c r="AK127" s="168">
        <f t="shared" si="82"/>
        <v>0</v>
      </c>
      <c r="AL127" s="168">
        <f t="shared" si="82"/>
        <v>0</v>
      </c>
      <c r="AM127" s="168">
        <f t="shared" si="82"/>
        <v>0</v>
      </c>
      <c r="AN127" s="168">
        <f t="shared" si="82"/>
        <v>0</v>
      </c>
      <c r="AO127" s="168">
        <f t="shared" si="82"/>
        <v>0</v>
      </c>
      <c r="AP127" s="168">
        <f t="shared" si="82"/>
        <v>0</v>
      </c>
      <c r="AQ127" s="170"/>
      <c r="AR127" s="171">
        <f t="shared" si="83"/>
        <v>258144.0001</v>
      </c>
      <c r="AT127" s="166">
        <f t="shared" si="84"/>
        <v>1992</v>
      </c>
      <c r="AU127" s="166">
        <f t="shared" si="85"/>
        <v>0</v>
      </c>
      <c r="AV127" s="166">
        <v>100</v>
      </c>
      <c r="AW127" s="241">
        <f t="shared" si="86"/>
        <v>0</v>
      </c>
      <c r="AX127" s="166">
        <f t="shared" si="87"/>
        <v>0</v>
      </c>
      <c r="AY127" s="166">
        <f t="shared" si="88"/>
        <v>0</v>
      </c>
      <c r="AZ127" s="242">
        <f t="shared" si="89"/>
        <v>0</v>
      </c>
      <c r="BA127" s="234">
        <f t="shared" si="54"/>
        <v>0</v>
      </c>
      <c r="BB127" s="235">
        <f t="shared" si="55"/>
        <v>0</v>
      </c>
      <c r="BC127" s="235">
        <f t="shared" si="56"/>
        <v>1</v>
      </c>
      <c r="BD127" s="236">
        <f t="shared" si="57"/>
        <v>0</v>
      </c>
    </row>
    <row r="128" spans="1:56" s="163" customFormat="1" ht="16.25" customHeight="1">
      <c r="A128" s="163" t="s">
        <v>232</v>
      </c>
      <c r="B128" s="163" t="s">
        <v>292</v>
      </c>
      <c r="C128" s="186" t="s">
        <v>401</v>
      </c>
      <c r="D128" s="165">
        <v>1</v>
      </c>
      <c r="E128" s="177">
        <f>'HGMD Unit Costs'!C134</f>
        <v>2019</v>
      </c>
      <c r="F128" s="203">
        <f>D128*'HGMD Unit Costs'!D134</f>
        <v>10000</v>
      </c>
      <c r="G128" s="167"/>
      <c r="H128" s="206">
        <f t="shared" si="90"/>
        <v>10350</v>
      </c>
      <c r="I128" s="166">
        <v>1992</v>
      </c>
      <c r="J128" s="166">
        <v>3</v>
      </c>
      <c r="K128" s="177">
        <f>'HGMD Unit Costs'!E134</f>
        <v>25</v>
      </c>
      <c r="L128" s="169"/>
      <c r="M128" s="168">
        <f t="shared" si="80"/>
        <v>10350</v>
      </c>
      <c r="N128" s="168">
        <f t="shared" si="80"/>
        <v>0</v>
      </c>
      <c r="O128" s="168">
        <f t="shared" si="80"/>
        <v>0</v>
      </c>
      <c r="P128" s="168">
        <f t="shared" si="80"/>
        <v>0</v>
      </c>
      <c r="Q128" s="168">
        <f t="shared" si="80"/>
        <v>0</v>
      </c>
      <c r="R128" s="168">
        <f t="shared" si="80"/>
        <v>0</v>
      </c>
      <c r="S128" s="168">
        <f t="shared" si="80"/>
        <v>0</v>
      </c>
      <c r="T128" s="168">
        <f t="shared" si="80"/>
        <v>0</v>
      </c>
      <c r="U128" s="168">
        <f t="shared" si="80"/>
        <v>0</v>
      </c>
      <c r="V128" s="168">
        <f t="shared" si="80"/>
        <v>0</v>
      </c>
      <c r="W128" s="168">
        <f t="shared" si="81"/>
        <v>0</v>
      </c>
      <c r="X128" s="168">
        <f t="shared" si="81"/>
        <v>0</v>
      </c>
      <c r="Y128" s="168">
        <f t="shared" si="81"/>
        <v>0</v>
      </c>
      <c r="Z128" s="168">
        <f t="shared" si="81"/>
        <v>0</v>
      </c>
      <c r="AA128" s="168">
        <f t="shared" si="81"/>
        <v>0</v>
      </c>
      <c r="AB128" s="168">
        <f t="shared" si="81"/>
        <v>0</v>
      </c>
      <c r="AC128" s="168">
        <f t="shared" si="81"/>
        <v>0</v>
      </c>
      <c r="AD128" s="168">
        <f t="shared" si="81"/>
        <v>0</v>
      </c>
      <c r="AE128" s="168">
        <f t="shared" si="81"/>
        <v>0</v>
      </c>
      <c r="AF128" s="168">
        <f t="shared" si="81"/>
        <v>0</v>
      </c>
      <c r="AG128" s="168">
        <f t="shared" si="82"/>
        <v>0</v>
      </c>
      <c r="AH128" s="168">
        <f t="shared" si="82"/>
        <v>0</v>
      </c>
      <c r="AI128" s="168">
        <f t="shared" si="82"/>
        <v>0</v>
      </c>
      <c r="AJ128" s="168">
        <f t="shared" si="82"/>
        <v>0</v>
      </c>
      <c r="AK128" s="168">
        <f t="shared" si="82"/>
        <v>0</v>
      </c>
      <c r="AL128" s="168">
        <f t="shared" si="82"/>
        <v>24460</v>
      </c>
      <c r="AM128" s="168">
        <f t="shared" si="82"/>
        <v>0</v>
      </c>
      <c r="AN128" s="168">
        <f t="shared" si="82"/>
        <v>0</v>
      </c>
      <c r="AO128" s="168">
        <f t="shared" si="82"/>
        <v>0</v>
      </c>
      <c r="AP128" s="168">
        <f t="shared" si="82"/>
        <v>0</v>
      </c>
      <c r="AQ128" s="170"/>
      <c r="AR128" s="171">
        <f t="shared" ref="AR128" si="91">SUM(L128:AQ128)+0.0001</f>
        <v>34810.000099999997</v>
      </c>
      <c r="AT128" s="166">
        <f t="shared" ref="AT128" si="92">I128</f>
        <v>1992</v>
      </c>
      <c r="AU128" s="166">
        <f t="shared" ref="AU128" si="93">J128</f>
        <v>3</v>
      </c>
      <c r="AV128" s="166">
        <v>100</v>
      </c>
      <c r="AW128" s="241"/>
      <c r="AX128" s="166"/>
      <c r="AY128" s="166"/>
      <c r="AZ128" s="242"/>
      <c r="BA128" s="234">
        <f t="shared" si="54"/>
        <v>0</v>
      </c>
      <c r="BB128" s="235">
        <f t="shared" si="55"/>
        <v>0</v>
      </c>
      <c r="BC128" s="235">
        <f t="shared" si="56"/>
        <v>1</v>
      </c>
      <c r="BD128" s="236">
        <f t="shared" si="57"/>
        <v>0</v>
      </c>
    </row>
    <row r="129" spans="1:56" s="163" customFormat="1" ht="16.25" customHeight="1">
      <c r="A129" s="163" t="s">
        <v>232</v>
      </c>
      <c r="B129" s="163" t="s">
        <v>292</v>
      </c>
      <c r="C129" s="164" t="s">
        <v>17</v>
      </c>
      <c r="D129" s="165">
        <v>1</v>
      </c>
      <c r="E129" s="177">
        <f>FieldControlsCostYear</f>
        <v>2015</v>
      </c>
      <c r="F129" s="203">
        <f>D129*FieldControlsUnitCost</f>
        <v>19000</v>
      </c>
      <c r="G129" s="167">
        <v>0</v>
      </c>
      <c r="H129" s="206">
        <f t="shared" si="90"/>
        <v>22566.039807290614</v>
      </c>
      <c r="I129" s="166">
        <v>1995</v>
      </c>
      <c r="J129" s="166">
        <v>20</v>
      </c>
      <c r="K129" s="177">
        <f>FieldControlsLife</f>
        <v>20</v>
      </c>
      <c r="L129" s="169"/>
      <c r="M129" s="168">
        <f t="shared" ref="M129:V138" si="94">ROUND($H129*IF(AND(M$1&gt;=($I129+$J129),MOD(M$1-($I129+$J129),$K129)=0),(1+InflationRate)^(M$1-AnalysisYear),0),0)*IF(AND(M$1&gt;=($AT129+$AU129),(M$1-($AT129+$AU129))&lt;&gt;0,MOD(M$1-($AT129+$AU129),$AV129)=0),0,1)</f>
        <v>0</v>
      </c>
      <c r="N129" s="168">
        <f t="shared" si="94"/>
        <v>0</v>
      </c>
      <c r="O129" s="168">
        <f t="shared" si="94"/>
        <v>0</v>
      </c>
      <c r="P129" s="168">
        <f t="shared" si="94"/>
        <v>0</v>
      </c>
      <c r="Q129" s="168">
        <f t="shared" si="94"/>
        <v>0</v>
      </c>
      <c r="R129" s="168">
        <f t="shared" si="94"/>
        <v>0</v>
      </c>
      <c r="S129" s="168">
        <f t="shared" si="94"/>
        <v>0</v>
      </c>
      <c r="T129" s="168">
        <f t="shared" si="94"/>
        <v>0</v>
      </c>
      <c r="U129" s="168">
        <f t="shared" si="94"/>
        <v>0</v>
      </c>
      <c r="V129" s="168">
        <f t="shared" si="94"/>
        <v>0</v>
      </c>
      <c r="W129" s="168">
        <f t="shared" ref="W129:AF138" si="95">ROUND($H129*IF(AND(W$1&gt;=($I129+$J129),MOD(W$1-($I129+$J129),$K129)=0),(1+InflationRate)^(W$1-AnalysisYear),0),0)*IF(AND(W$1&gt;=($AT129+$AU129),(W$1-($AT129+$AU129))&lt;&gt;0,MOD(W$1-($AT129+$AU129),$AV129)=0),0,1)</f>
        <v>0</v>
      </c>
      <c r="X129" s="168">
        <f t="shared" si="95"/>
        <v>0</v>
      </c>
      <c r="Y129" s="168">
        <f t="shared" si="95"/>
        <v>0</v>
      </c>
      <c r="Z129" s="168">
        <f t="shared" si="95"/>
        <v>0</v>
      </c>
      <c r="AA129" s="168">
        <f t="shared" si="95"/>
        <v>0</v>
      </c>
      <c r="AB129" s="168">
        <f t="shared" si="95"/>
        <v>37806</v>
      </c>
      <c r="AC129" s="168">
        <f t="shared" si="95"/>
        <v>0</v>
      </c>
      <c r="AD129" s="168">
        <f t="shared" si="95"/>
        <v>0</v>
      </c>
      <c r="AE129" s="168">
        <f t="shared" si="95"/>
        <v>0</v>
      </c>
      <c r="AF129" s="168">
        <f t="shared" si="95"/>
        <v>0</v>
      </c>
      <c r="AG129" s="168">
        <f t="shared" ref="AG129:AP138" si="96">ROUND($H129*IF(AND(AG$1&gt;=($I129+$J129),MOD(AG$1-($I129+$J129),$K129)=0),(1+InflationRate)^(AG$1-AnalysisYear),0),0)*IF(AND(AG$1&gt;=($AT129+$AU129),(AG$1-($AT129+$AU129))&lt;&gt;0,MOD(AG$1-($AT129+$AU129),$AV129)=0),0,1)</f>
        <v>0</v>
      </c>
      <c r="AH129" s="168">
        <f t="shared" si="96"/>
        <v>0</v>
      </c>
      <c r="AI129" s="168">
        <f t="shared" si="96"/>
        <v>0</v>
      </c>
      <c r="AJ129" s="168">
        <f t="shared" si="96"/>
        <v>0</v>
      </c>
      <c r="AK129" s="168">
        <f t="shared" si="96"/>
        <v>0</v>
      </c>
      <c r="AL129" s="168">
        <f t="shared" si="96"/>
        <v>0</v>
      </c>
      <c r="AM129" s="168">
        <f t="shared" si="96"/>
        <v>0</v>
      </c>
      <c r="AN129" s="168">
        <f t="shared" si="96"/>
        <v>0</v>
      </c>
      <c r="AO129" s="168">
        <f t="shared" si="96"/>
        <v>0</v>
      </c>
      <c r="AP129" s="168">
        <f t="shared" si="96"/>
        <v>0</v>
      </c>
      <c r="AQ129" s="170"/>
      <c r="AR129" s="171">
        <f t="shared" ref="AR129:AR160" si="97">SUM(L129:AQ129)+0.0001</f>
        <v>37806.000099999997</v>
      </c>
      <c r="AT129" s="166">
        <f t="shared" ref="AT129:AT160" si="98">I129</f>
        <v>1995</v>
      </c>
      <c r="AU129" s="166">
        <f t="shared" ref="AU129:AU160" si="99">J129</f>
        <v>20</v>
      </c>
      <c r="AV129" s="166">
        <v>100</v>
      </c>
      <c r="AW129" s="241">
        <f t="shared" ref="AW129:AW160" si="100">IF($L129="F",1,0)</f>
        <v>0</v>
      </c>
      <c r="AX129" s="166">
        <f t="shared" ref="AX129:AX160" si="101">IF($L129="L",1,0)</f>
        <v>0</v>
      </c>
      <c r="AY129" s="166">
        <f t="shared" ref="AY129:AY160" si="102">IF($L129="T",1,0)</f>
        <v>0</v>
      </c>
      <c r="AZ129" s="242">
        <f t="shared" ref="AZ129:AZ160" si="103">IF($L129="I",1,0)</f>
        <v>0</v>
      </c>
      <c r="BA129" s="234">
        <f t="shared" si="54"/>
        <v>0</v>
      </c>
      <c r="BB129" s="235">
        <f t="shared" si="55"/>
        <v>0</v>
      </c>
      <c r="BC129" s="235">
        <f t="shared" si="56"/>
        <v>1</v>
      </c>
      <c r="BD129" s="236">
        <f t="shared" si="57"/>
        <v>0</v>
      </c>
    </row>
    <row r="130" spans="1:56" s="163" customFormat="1" ht="16.25" customHeight="1">
      <c r="A130" s="163" t="s">
        <v>232</v>
      </c>
      <c r="B130" s="163" t="s">
        <v>292</v>
      </c>
      <c r="C130" s="186" t="s">
        <v>18</v>
      </c>
      <c r="D130" s="165">
        <v>1</v>
      </c>
      <c r="E130" s="177">
        <f>PumpStationCOstYear</f>
        <v>2015</v>
      </c>
      <c r="F130" s="203">
        <f>D130*PumpStatoinUnitCost</f>
        <v>90000</v>
      </c>
      <c r="G130" s="167">
        <v>0</v>
      </c>
      <c r="H130" s="206">
        <f t="shared" si="90"/>
        <v>106891.76750821871</v>
      </c>
      <c r="I130" s="166">
        <v>1980</v>
      </c>
      <c r="J130" s="166">
        <v>30</v>
      </c>
      <c r="K130" s="177">
        <f>PumpStationLife</f>
        <v>30</v>
      </c>
      <c r="L130" s="169"/>
      <c r="M130" s="168">
        <f t="shared" si="94"/>
        <v>0</v>
      </c>
      <c r="N130" s="168">
        <f t="shared" si="94"/>
        <v>0</v>
      </c>
      <c r="O130" s="168">
        <f t="shared" si="94"/>
        <v>0</v>
      </c>
      <c r="P130" s="168">
        <f t="shared" si="94"/>
        <v>0</v>
      </c>
      <c r="Q130" s="168">
        <f t="shared" si="94"/>
        <v>0</v>
      </c>
      <c r="R130" s="168">
        <f t="shared" si="94"/>
        <v>0</v>
      </c>
      <c r="S130" s="168">
        <f t="shared" si="94"/>
        <v>0</v>
      </c>
      <c r="T130" s="168">
        <f t="shared" si="94"/>
        <v>0</v>
      </c>
      <c r="U130" s="168">
        <f t="shared" si="94"/>
        <v>0</v>
      </c>
      <c r="V130" s="168">
        <f t="shared" si="94"/>
        <v>0</v>
      </c>
      <c r="W130" s="168">
        <f t="shared" si="95"/>
        <v>0</v>
      </c>
      <c r="X130" s="168">
        <f t="shared" si="95"/>
        <v>0</v>
      </c>
      <c r="Y130" s="168">
        <f t="shared" si="95"/>
        <v>0</v>
      </c>
      <c r="Z130" s="168">
        <f t="shared" si="95"/>
        <v>0</v>
      </c>
      <c r="AA130" s="168">
        <f t="shared" si="95"/>
        <v>0</v>
      </c>
      <c r="AB130" s="168">
        <f t="shared" si="95"/>
        <v>0</v>
      </c>
      <c r="AC130" s="168">
        <f t="shared" si="95"/>
        <v>0</v>
      </c>
      <c r="AD130" s="168">
        <f t="shared" si="95"/>
        <v>0</v>
      </c>
      <c r="AE130" s="168">
        <f t="shared" si="95"/>
        <v>0</v>
      </c>
      <c r="AF130" s="168">
        <f t="shared" si="95"/>
        <v>0</v>
      </c>
      <c r="AG130" s="168">
        <f t="shared" si="96"/>
        <v>212692</v>
      </c>
      <c r="AH130" s="168">
        <f t="shared" si="96"/>
        <v>0</v>
      </c>
      <c r="AI130" s="168">
        <f t="shared" si="96"/>
        <v>0</v>
      </c>
      <c r="AJ130" s="168">
        <f t="shared" si="96"/>
        <v>0</v>
      </c>
      <c r="AK130" s="168">
        <f t="shared" si="96"/>
        <v>0</v>
      </c>
      <c r="AL130" s="168">
        <f t="shared" si="96"/>
        <v>0</v>
      </c>
      <c r="AM130" s="168">
        <f t="shared" si="96"/>
        <v>0</v>
      </c>
      <c r="AN130" s="168">
        <f t="shared" si="96"/>
        <v>0</v>
      </c>
      <c r="AO130" s="168">
        <f t="shared" si="96"/>
        <v>0</v>
      </c>
      <c r="AP130" s="168">
        <f t="shared" si="96"/>
        <v>0</v>
      </c>
      <c r="AQ130" s="170"/>
      <c r="AR130" s="171">
        <f t="shared" si="97"/>
        <v>212692.0001</v>
      </c>
      <c r="AT130" s="166">
        <f t="shared" si="98"/>
        <v>1980</v>
      </c>
      <c r="AU130" s="166">
        <f t="shared" si="99"/>
        <v>30</v>
      </c>
      <c r="AV130" s="166">
        <v>100</v>
      </c>
      <c r="AW130" s="241">
        <f t="shared" si="100"/>
        <v>0</v>
      </c>
      <c r="AX130" s="166">
        <f t="shared" si="101"/>
        <v>0</v>
      </c>
      <c r="AY130" s="166">
        <f t="shared" si="102"/>
        <v>0</v>
      </c>
      <c r="AZ130" s="242">
        <f t="shared" si="103"/>
        <v>0</v>
      </c>
      <c r="BA130" s="234">
        <f t="shared" si="54"/>
        <v>0</v>
      </c>
      <c r="BB130" s="235">
        <f t="shared" si="55"/>
        <v>0</v>
      </c>
      <c r="BC130" s="235">
        <f t="shared" si="56"/>
        <v>1</v>
      </c>
      <c r="BD130" s="236">
        <f t="shared" si="57"/>
        <v>0</v>
      </c>
    </row>
    <row r="131" spans="1:56" s="163" customFormat="1" ht="16.25" customHeight="1">
      <c r="A131" s="163" t="s">
        <v>232</v>
      </c>
      <c r="B131" s="163" t="s">
        <v>292</v>
      </c>
      <c r="C131" s="163" t="s">
        <v>69</v>
      </c>
      <c r="D131" s="165">
        <v>1</v>
      </c>
      <c r="E131" s="177">
        <f>WaterfallRebuildCostYear</f>
        <v>2015</v>
      </c>
      <c r="F131" s="206">
        <f>D131*WaterfallRebuildUnitCost</f>
        <v>40000</v>
      </c>
      <c r="G131" s="168">
        <v>0</v>
      </c>
      <c r="H131" s="206">
        <f t="shared" si="90"/>
        <v>47507.452225874978</v>
      </c>
      <c r="I131" s="166">
        <v>2016</v>
      </c>
      <c r="J131" s="166">
        <v>0</v>
      </c>
      <c r="K131" s="177">
        <f>WaterfallRebuildLife</f>
        <v>20</v>
      </c>
      <c r="L131" s="169" t="s">
        <v>415</v>
      </c>
      <c r="M131" s="168">
        <f t="shared" si="94"/>
        <v>0</v>
      </c>
      <c r="N131" s="168">
        <f t="shared" si="94"/>
        <v>0</v>
      </c>
      <c r="O131" s="168">
        <f t="shared" si="94"/>
        <v>0</v>
      </c>
      <c r="P131" s="168">
        <f t="shared" si="94"/>
        <v>0</v>
      </c>
      <c r="Q131" s="168">
        <f t="shared" si="94"/>
        <v>0</v>
      </c>
      <c r="R131" s="168">
        <f t="shared" si="94"/>
        <v>0</v>
      </c>
      <c r="S131" s="168">
        <f t="shared" si="94"/>
        <v>0</v>
      </c>
      <c r="T131" s="168">
        <f t="shared" si="94"/>
        <v>0</v>
      </c>
      <c r="U131" s="168">
        <f t="shared" si="94"/>
        <v>0</v>
      </c>
      <c r="V131" s="168">
        <f t="shared" si="94"/>
        <v>0</v>
      </c>
      <c r="W131" s="168">
        <f t="shared" si="95"/>
        <v>0</v>
      </c>
      <c r="X131" s="168">
        <f t="shared" si="95"/>
        <v>0</v>
      </c>
      <c r="Y131" s="168">
        <f t="shared" si="95"/>
        <v>0</v>
      </c>
      <c r="Z131" s="168">
        <f t="shared" si="95"/>
        <v>0</v>
      </c>
      <c r="AA131" s="168">
        <f t="shared" si="95"/>
        <v>0</v>
      </c>
      <c r="AB131" s="168">
        <f t="shared" si="95"/>
        <v>0</v>
      </c>
      <c r="AC131" s="168">
        <f t="shared" si="95"/>
        <v>82377</v>
      </c>
      <c r="AD131" s="168">
        <f t="shared" si="95"/>
        <v>0</v>
      </c>
      <c r="AE131" s="168">
        <f t="shared" si="95"/>
        <v>0</v>
      </c>
      <c r="AF131" s="168">
        <f t="shared" si="95"/>
        <v>0</v>
      </c>
      <c r="AG131" s="168">
        <f t="shared" si="96"/>
        <v>0</v>
      </c>
      <c r="AH131" s="168">
        <f t="shared" si="96"/>
        <v>0</v>
      </c>
      <c r="AI131" s="168">
        <f t="shared" si="96"/>
        <v>0</v>
      </c>
      <c r="AJ131" s="168">
        <f t="shared" si="96"/>
        <v>0</v>
      </c>
      <c r="AK131" s="168">
        <f t="shared" si="96"/>
        <v>0</v>
      </c>
      <c r="AL131" s="168">
        <f t="shared" si="96"/>
        <v>0</v>
      </c>
      <c r="AM131" s="168">
        <f t="shared" si="96"/>
        <v>0</v>
      </c>
      <c r="AN131" s="168">
        <f t="shared" si="96"/>
        <v>0</v>
      </c>
      <c r="AO131" s="168">
        <f t="shared" si="96"/>
        <v>0</v>
      </c>
      <c r="AP131" s="168">
        <f t="shared" si="96"/>
        <v>0</v>
      </c>
      <c r="AQ131" s="170"/>
      <c r="AR131" s="171">
        <f t="shared" si="97"/>
        <v>82377.000100000005</v>
      </c>
      <c r="AT131" s="166">
        <f t="shared" si="98"/>
        <v>2016</v>
      </c>
      <c r="AU131" s="166">
        <f t="shared" si="99"/>
        <v>0</v>
      </c>
      <c r="AV131" s="166">
        <v>100</v>
      </c>
      <c r="AW131" s="241">
        <f t="shared" si="100"/>
        <v>1</v>
      </c>
      <c r="AX131" s="166">
        <f t="shared" si="101"/>
        <v>0</v>
      </c>
      <c r="AY131" s="166">
        <f t="shared" si="102"/>
        <v>0</v>
      </c>
      <c r="AZ131" s="242">
        <f t="shared" si="103"/>
        <v>0</v>
      </c>
      <c r="BA131" s="234">
        <f t="shared" si="54"/>
        <v>0</v>
      </c>
      <c r="BB131" s="235">
        <f t="shared" si="55"/>
        <v>0</v>
      </c>
      <c r="BC131" s="235">
        <f t="shared" si="56"/>
        <v>1</v>
      </c>
      <c r="BD131" s="236">
        <f t="shared" si="57"/>
        <v>0</v>
      </c>
    </row>
    <row r="132" spans="1:56" s="163" customFormat="1" ht="16.25" customHeight="1">
      <c r="A132" s="163" t="s">
        <v>232</v>
      </c>
      <c r="B132" s="163" t="s">
        <v>292</v>
      </c>
      <c r="C132" s="163" t="s">
        <v>15</v>
      </c>
      <c r="D132" s="165">
        <v>1</v>
      </c>
      <c r="E132" s="177">
        <f>WellPumpMotorRebuildCostYear</f>
        <v>2015</v>
      </c>
      <c r="F132" s="206">
        <f>D132*WellPumpMotorRebuildUnitCOst</f>
        <v>82670</v>
      </c>
      <c r="G132" s="168">
        <v>0</v>
      </c>
      <c r="H132" s="206">
        <f t="shared" si="90"/>
        <v>98186.026887827116</v>
      </c>
      <c r="I132" s="166">
        <v>2016</v>
      </c>
      <c r="J132" s="166">
        <v>0</v>
      </c>
      <c r="K132" s="177">
        <f>WellPumpMotorRebuildLife</f>
        <v>15</v>
      </c>
      <c r="L132" s="169"/>
      <c r="M132" s="168">
        <f t="shared" si="94"/>
        <v>0</v>
      </c>
      <c r="N132" s="168">
        <f t="shared" si="94"/>
        <v>0</v>
      </c>
      <c r="O132" s="168">
        <f t="shared" si="94"/>
        <v>0</v>
      </c>
      <c r="P132" s="168">
        <f t="shared" si="94"/>
        <v>0</v>
      </c>
      <c r="Q132" s="168">
        <f t="shared" si="94"/>
        <v>0</v>
      </c>
      <c r="R132" s="168">
        <f t="shared" si="94"/>
        <v>0</v>
      </c>
      <c r="S132" s="168">
        <f t="shared" si="94"/>
        <v>0</v>
      </c>
      <c r="T132" s="168">
        <f t="shared" si="94"/>
        <v>0</v>
      </c>
      <c r="U132" s="168">
        <f t="shared" si="94"/>
        <v>0</v>
      </c>
      <c r="V132" s="168">
        <f t="shared" si="94"/>
        <v>0</v>
      </c>
      <c r="W132" s="168">
        <f t="shared" si="95"/>
        <v>0</v>
      </c>
      <c r="X132" s="168">
        <f t="shared" si="95"/>
        <v>143349</v>
      </c>
      <c r="Y132" s="168">
        <f t="shared" si="95"/>
        <v>0</v>
      </c>
      <c r="Z132" s="168">
        <f t="shared" si="95"/>
        <v>0</v>
      </c>
      <c r="AA132" s="168">
        <f t="shared" si="95"/>
        <v>0</v>
      </c>
      <c r="AB132" s="168">
        <f t="shared" si="95"/>
        <v>0</v>
      </c>
      <c r="AC132" s="168">
        <f t="shared" si="95"/>
        <v>0</v>
      </c>
      <c r="AD132" s="168">
        <f t="shared" si="95"/>
        <v>0</v>
      </c>
      <c r="AE132" s="168">
        <f t="shared" si="95"/>
        <v>0</v>
      </c>
      <c r="AF132" s="168">
        <f t="shared" si="95"/>
        <v>0</v>
      </c>
      <c r="AG132" s="168">
        <f t="shared" si="96"/>
        <v>0</v>
      </c>
      <c r="AH132" s="168">
        <f t="shared" si="96"/>
        <v>0</v>
      </c>
      <c r="AI132" s="168">
        <f t="shared" si="96"/>
        <v>0</v>
      </c>
      <c r="AJ132" s="168">
        <f t="shared" si="96"/>
        <v>0</v>
      </c>
      <c r="AK132" s="168">
        <f t="shared" si="96"/>
        <v>0</v>
      </c>
      <c r="AL132" s="168">
        <f t="shared" si="96"/>
        <v>0</v>
      </c>
      <c r="AM132" s="168">
        <f t="shared" si="96"/>
        <v>240159</v>
      </c>
      <c r="AN132" s="168">
        <f t="shared" si="96"/>
        <v>0</v>
      </c>
      <c r="AO132" s="168">
        <f t="shared" si="96"/>
        <v>0</v>
      </c>
      <c r="AP132" s="168">
        <f t="shared" si="96"/>
        <v>0</v>
      </c>
      <c r="AQ132" s="170"/>
      <c r="AR132" s="171">
        <f t="shared" si="97"/>
        <v>383508.0001</v>
      </c>
      <c r="AT132" s="166">
        <f t="shared" si="98"/>
        <v>2016</v>
      </c>
      <c r="AU132" s="166">
        <f t="shared" si="99"/>
        <v>0</v>
      </c>
      <c r="AV132" s="166">
        <v>100</v>
      </c>
      <c r="AW132" s="241">
        <f t="shared" si="100"/>
        <v>0</v>
      </c>
      <c r="AX132" s="166">
        <f t="shared" si="101"/>
        <v>0</v>
      </c>
      <c r="AY132" s="166">
        <f t="shared" si="102"/>
        <v>0</v>
      </c>
      <c r="AZ132" s="242">
        <f t="shared" si="103"/>
        <v>0</v>
      </c>
      <c r="BA132" s="234">
        <f t="shared" ref="BA132:BA191" si="104">IF($A132="CR",1,0)-BB132</f>
        <v>0</v>
      </c>
      <c r="BB132" s="235">
        <f t="shared" ref="BB132:BB191" si="105">IF(AND($A132="CR",$B132="Restaurant"),1,0)</f>
        <v>0</v>
      </c>
      <c r="BC132" s="235">
        <f t="shared" ref="BC132:BC191" si="106">IF($A132="GC",1,0)</f>
        <v>1</v>
      </c>
      <c r="BD132" s="236">
        <f t="shared" ref="BD132:BD191" si="107">IF($A132="PC",1,0)</f>
        <v>0</v>
      </c>
    </row>
    <row r="133" spans="1:56" s="163" customFormat="1" ht="16.25" customHeight="1">
      <c r="A133" s="163" t="s">
        <v>232</v>
      </c>
      <c r="B133" s="163" t="s">
        <v>292</v>
      </c>
      <c r="C133" s="163" t="s">
        <v>24</v>
      </c>
      <c r="D133" s="165">
        <v>1</v>
      </c>
      <c r="E133" s="177">
        <f>WellRehabCostYear</f>
        <v>2016</v>
      </c>
      <c r="F133" s="206">
        <f>D133*WellRehabUnitCost</f>
        <v>90710</v>
      </c>
      <c r="G133" s="168">
        <v>0</v>
      </c>
      <c r="H133" s="206">
        <f t="shared" si="90"/>
        <v>104091.81138669372</v>
      </c>
      <c r="I133" s="166">
        <v>2016</v>
      </c>
      <c r="J133" s="166">
        <v>0</v>
      </c>
      <c r="K133" s="177">
        <f>WellRehabLife</f>
        <v>20</v>
      </c>
      <c r="L133" s="169"/>
      <c r="M133" s="168">
        <f t="shared" si="94"/>
        <v>0</v>
      </c>
      <c r="N133" s="168">
        <f t="shared" si="94"/>
        <v>0</v>
      </c>
      <c r="O133" s="168">
        <f t="shared" si="94"/>
        <v>0</v>
      </c>
      <c r="P133" s="168">
        <f t="shared" si="94"/>
        <v>0</v>
      </c>
      <c r="Q133" s="168">
        <f t="shared" si="94"/>
        <v>0</v>
      </c>
      <c r="R133" s="168">
        <f t="shared" si="94"/>
        <v>0</v>
      </c>
      <c r="S133" s="168">
        <f t="shared" si="94"/>
        <v>0</v>
      </c>
      <c r="T133" s="168">
        <f t="shared" si="94"/>
        <v>0</v>
      </c>
      <c r="U133" s="168">
        <f t="shared" si="94"/>
        <v>0</v>
      </c>
      <c r="V133" s="168">
        <f t="shared" si="94"/>
        <v>0</v>
      </c>
      <c r="W133" s="168">
        <f t="shared" si="95"/>
        <v>0</v>
      </c>
      <c r="X133" s="168">
        <f t="shared" si="95"/>
        <v>0</v>
      </c>
      <c r="Y133" s="168">
        <f t="shared" si="95"/>
        <v>0</v>
      </c>
      <c r="Z133" s="168">
        <f t="shared" si="95"/>
        <v>0</v>
      </c>
      <c r="AA133" s="168">
        <f t="shared" si="95"/>
        <v>0</v>
      </c>
      <c r="AB133" s="168">
        <f t="shared" si="95"/>
        <v>0</v>
      </c>
      <c r="AC133" s="168">
        <f t="shared" si="95"/>
        <v>180494</v>
      </c>
      <c r="AD133" s="168">
        <f t="shared" si="95"/>
        <v>0</v>
      </c>
      <c r="AE133" s="168">
        <f t="shared" si="95"/>
        <v>0</v>
      </c>
      <c r="AF133" s="168">
        <f t="shared" si="95"/>
        <v>0</v>
      </c>
      <c r="AG133" s="168">
        <f t="shared" si="96"/>
        <v>0</v>
      </c>
      <c r="AH133" s="168">
        <f t="shared" si="96"/>
        <v>0</v>
      </c>
      <c r="AI133" s="168">
        <f t="shared" si="96"/>
        <v>0</v>
      </c>
      <c r="AJ133" s="168">
        <f t="shared" si="96"/>
        <v>0</v>
      </c>
      <c r="AK133" s="168">
        <f t="shared" si="96"/>
        <v>0</v>
      </c>
      <c r="AL133" s="168">
        <f t="shared" si="96"/>
        <v>0</v>
      </c>
      <c r="AM133" s="168">
        <f t="shared" si="96"/>
        <v>0</v>
      </c>
      <c r="AN133" s="168">
        <f t="shared" si="96"/>
        <v>0</v>
      </c>
      <c r="AO133" s="168">
        <f t="shared" si="96"/>
        <v>0</v>
      </c>
      <c r="AP133" s="168">
        <f t="shared" si="96"/>
        <v>0</v>
      </c>
      <c r="AQ133" s="170"/>
      <c r="AR133" s="171">
        <f t="shared" si="97"/>
        <v>180494.0001</v>
      </c>
      <c r="AT133" s="166">
        <f t="shared" si="98"/>
        <v>2016</v>
      </c>
      <c r="AU133" s="166">
        <f t="shared" si="99"/>
        <v>0</v>
      </c>
      <c r="AV133" s="166">
        <v>100</v>
      </c>
      <c r="AW133" s="241">
        <f t="shared" si="100"/>
        <v>0</v>
      </c>
      <c r="AX133" s="166">
        <f t="shared" si="101"/>
        <v>0</v>
      </c>
      <c r="AY133" s="166">
        <f t="shared" si="102"/>
        <v>0</v>
      </c>
      <c r="AZ133" s="242">
        <f t="shared" si="103"/>
        <v>0</v>
      </c>
      <c r="BA133" s="234">
        <f t="shared" si="104"/>
        <v>0</v>
      </c>
      <c r="BB133" s="235">
        <f t="shared" si="105"/>
        <v>0</v>
      </c>
      <c r="BC133" s="235">
        <f t="shared" si="106"/>
        <v>1</v>
      </c>
      <c r="BD133" s="236">
        <f t="shared" si="107"/>
        <v>0</v>
      </c>
    </row>
    <row r="134" spans="1:56" s="163" customFormat="1" ht="16.25" customHeight="1">
      <c r="A134" s="163" t="s">
        <v>232</v>
      </c>
      <c r="B134" s="163" t="s">
        <v>235</v>
      </c>
      <c r="C134" s="164" t="s">
        <v>27</v>
      </c>
      <c r="D134" s="165">
        <v>1</v>
      </c>
      <c r="E134" s="177">
        <f>aerifierfairwaycostyear</f>
        <v>2019</v>
      </c>
      <c r="F134" s="206">
        <f>D134*aerifierfairwayunitcost</f>
        <v>8925</v>
      </c>
      <c r="G134" s="168">
        <v>0</v>
      </c>
      <c r="H134" s="206">
        <f t="shared" si="90"/>
        <v>9237.375</v>
      </c>
      <c r="I134" s="166">
        <v>2012</v>
      </c>
      <c r="J134" s="166"/>
      <c r="K134" s="177">
        <f>aerifierfairwaylife</f>
        <v>26</v>
      </c>
      <c r="L134" s="169"/>
      <c r="M134" s="168">
        <f t="shared" si="94"/>
        <v>0</v>
      </c>
      <c r="N134" s="168">
        <f t="shared" si="94"/>
        <v>0</v>
      </c>
      <c r="O134" s="168">
        <f t="shared" si="94"/>
        <v>0</v>
      </c>
      <c r="P134" s="168">
        <f t="shared" si="94"/>
        <v>0</v>
      </c>
      <c r="Q134" s="168">
        <f t="shared" si="94"/>
        <v>0</v>
      </c>
      <c r="R134" s="168">
        <f t="shared" si="94"/>
        <v>0</v>
      </c>
      <c r="S134" s="168">
        <f t="shared" si="94"/>
        <v>0</v>
      </c>
      <c r="T134" s="168">
        <f t="shared" si="94"/>
        <v>0</v>
      </c>
      <c r="U134" s="168">
        <f t="shared" si="94"/>
        <v>0</v>
      </c>
      <c r="V134" s="168">
        <f t="shared" si="94"/>
        <v>0</v>
      </c>
      <c r="W134" s="168">
        <f t="shared" si="95"/>
        <v>0</v>
      </c>
      <c r="X134" s="168">
        <f t="shared" si="95"/>
        <v>0</v>
      </c>
      <c r="Y134" s="168">
        <f t="shared" si="95"/>
        <v>0</v>
      </c>
      <c r="Z134" s="168">
        <f t="shared" si="95"/>
        <v>0</v>
      </c>
      <c r="AA134" s="168">
        <f t="shared" si="95"/>
        <v>0</v>
      </c>
      <c r="AB134" s="168">
        <f t="shared" si="95"/>
        <v>0</v>
      </c>
      <c r="AC134" s="168">
        <f t="shared" si="95"/>
        <v>0</v>
      </c>
      <c r="AD134" s="168">
        <f t="shared" si="95"/>
        <v>0</v>
      </c>
      <c r="AE134" s="168">
        <f t="shared" si="95"/>
        <v>17158</v>
      </c>
      <c r="AF134" s="168">
        <f t="shared" si="95"/>
        <v>0</v>
      </c>
      <c r="AG134" s="168">
        <f t="shared" si="96"/>
        <v>0</v>
      </c>
      <c r="AH134" s="168">
        <f t="shared" si="96"/>
        <v>0</v>
      </c>
      <c r="AI134" s="168">
        <f t="shared" si="96"/>
        <v>0</v>
      </c>
      <c r="AJ134" s="168">
        <f t="shared" si="96"/>
        <v>0</v>
      </c>
      <c r="AK134" s="168">
        <f t="shared" si="96"/>
        <v>0</v>
      </c>
      <c r="AL134" s="168">
        <f t="shared" si="96"/>
        <v>0</v>
      </c>
      <c r="AM134" s="168">
        <f t="shared" si="96"/>
        <v>0</v>
      </c>
      <c r="AN134" s="168">
        <f t="shared" si="96"/>
        <v>0</v>
      </c>
      <c r="AO134" s="168">
        <f t="shared" si="96"/>
        <v>0</v>
      </c>
      <c r="AP134" s="168">
        <f t="shared" si="96"/>
        <v>0</v>
      </c>
      <c r="AQ134" s="170"/>
      <c r="AR134" s="171">
        <f t="shared" si="97"/>
        <v>17158.000100000001</v>
      </c>
      <c r="AT134" s="166">
        <f t="shared" si="98"/>
        <v>2012</v>
      </c>
      <c r="AU134" s="166">
        <f t="shared" si="99"/>
        <v>0</v>
      </c>
      <c r="AV134" s="166">
        <v>100</v>
      </c>
      <c r="AW134" s="241">
        <f t="shared" si="100"/>
        <v>0</v>
      </c>
      <c r="AX134" s="166">
        <f t="shared" si="101"/>
        <v>0</v>
      </c>
      <c r="AY134" s="166">
        <f t="shared" si="102"/>
        <v>0</v>
      </c>
      <c r="AZ134" s="242">
        <f t="shared" si="103"/>
        <v>0</v>
      </c>
      <c r="BA134" s="234">
        <f t="shared" si="104"/>
        <v>0</v>
      </c>
      <c r="BB134" s="235">
        <f t="shared" si="105"/>
        <v>0</v>
      </c>
      <c r="BC134" s="235">
        <f t="shared" si="106"/>
        <v>1</v>
      </c>
      <c r="BD134" s="236">
        <f t="shared" si="107"/>
        <v>0</v>
      </c>
    </row>
    <row r="135" spans="1:56" s="163" customFormat="1" ht="16.25" customHeight="1">
      <c r="A135" s="163" t="s">
        <v>232</v>
      </c>
      <c r="B135" s="163" t="s">
        <v>235</v>
      </c>
      <c r="C135" s="164" t="s">
        <v>28</v>
      </c>
      <c r="D135" s="165">
        <v>1</v>
      </c>
      <c r="E135" s="177">
        <f>aerifiergreenscostyear</f>
        <v>2019</v>
      </c>
      <c r="F135" s="206">
        <f>D135*aerifiergreensunitcost</f>
        <v>30187</v>
      </c>
      <c r="G135" s="168">
        <v>0</v>
      </c>
      <c r="H135" s="206">
        <f t="shared" si="90"/>
        <v>31243.544999999998</v>
      </c>
      <c r="I135" s="166">
        <v>2006</v>
      </c>
      <c r="J135" s="166"/>
      <c r="K135" s="177">
        <f>aerifiergreenslife</f>
        <v>17</v>
      </c>
      <c r="L135" s="169"/>
      <c r="M135" s="168">
        <f t="shared" si="94"/>
        <v>0</v>
      </c>
      <c r="N135" s="168">
        <f t="shared" si="94"/>
        <v>0</v>
      </c>
      <c r="O135" s="168">
        <f t="shared" si="94"/>
        <v>0</v>
      </c>
      <c r="P135" s="168">
        <f t="shared" si="94"/>
        <v>34640</v>
      </c>
      <c r="Q135" s="168">
        <f t="shared" si="94"/>
        <v>0</v>
      </c>
      <c r="R135" s="168">
        <f t="shared" si="94"/>
        <v>0</v>
      </c>
      <c r="S135" s="168">
        <f t="shared" si="94"/>
        <v>0</v>
      </c>
      <c r="T135" s="168">
        <f t="shared" si="94"/>
        <v>0</v>
      </c>
      <c r="U135" s="168">
        <f t="shared" si="94"/>
        <v>0</v>
      </c>
      <c r="V135" s="168">
        <f t="shared" si="94"/>
        <v>0</v>
      </c>
      <c r="W135" s="168">
        <f t="shared" si="95"/>
        <v>0</v>
      </c>
      <c r="X135" s="168">
        <f t="shared" si="95"/>
        <v>0</v>
      </c>
      <c r="Y135" s="168">
        <f t="shared" si="95"/>
        <v>0</v>
      </c>
      <c r="Z135" s="168">
        <f t="shared" si="95"/>
        <v>0</v>
      </c>
      <c r="AA135" s="168">
        <f t="shared" si="95"/>
        <v>0</v>
      </c>
      <c r="AB135" s="168">
        <f t="shared" si="95"/>
        <v>0</v>
      </c>
      <c r="AC135" s="168">
        <f t="shared" si="95"/>
        <v>0</v>
      </c>
      <c r="AD135" s="168">
        <f t="shared" si="95"/>
        <v>0</v>
      </c>
      <c r="AE135" s="168">
        <f t="shared" si="95"/>
        <v>0</v>
      </c>
      <c r="AF135" s="168">
        <f t="shared" si="95"/>
        <v>0</v>
      </c>
      <c r="AG135" s="168">
        <f t="shared" si="96"/>
        <v>62168</v>
      </c>
      <c r="AH135" s="168">
        <f t="shared" si="96"/>
        <v>0</v>
      </c>
      <c r="AI135" s="168">
        <f t="shared" si="96"/>
        <v>0</v>
      </c>
      <c r="AJ135" s="168">
        <f t="shared" si="96"/>
        <v>0</v>
      </c>
      <c r="AK135" s="168">
        <f t="shared" si="96"/>
        <v>0</v>
      </c>
      <c r="AL135" s="168">
        <f t="shared" si="96"/>
        <v>0</v>
      </c>
      <c r="AM135" s="168">
        <f t="shared" si="96"/>
        <v>0</v>
      </c>
      <c r="AN135" s="168">
        <f t="shared" si="96"/>
        <v>0</v>
      </c>
      <c r="AO135" s="168">
        <f t="shared" si="96"/>
        <v>0</v>
      </c>
      <c r="AP135" s="168">
        <f t="shared" si="96"/>
        <v>0</v>
      </c>
      <c r="AQ135" s="170"/>
      <c r="AR135" s="171">
        <f t="shared" si="97"/>
        <v>96808.000100000005</v>
      </c>
      <c r="AT135" s="166">
        <f t="shared" si="98"/>
        <v>2006</v>
      </c>
      <c r="AU135" s="166">
        <f t="shared" si="99"/>
        <v>0</v>
      </c>
      <c r="AV135" s="166">
        <v>100</v>
      </c>
      <c r="AW135" s="241">
        <f t="shared" si="100"/>
        <v>0</v>
      </c>
      <c r="AX135" s="166">
        <f t="shared" si="101"/>
        <v>0</v>
      </c>
      <c r="AY135" s="166">
        <f t="shared" si="102"/>
        <v>0</v>
      </c>
      <c r="AZ135" s="242">
        <f t="shared" si="103"/>
        <v>0</v>
      </c>
      <c r="BA135" s="234">
        <f t="shared" si="104"/>
        <v>0</v>
      </c>
      <c r="BB135" s="235">
        <f t="shared" si="105"/>
        <v>0</v>
      </c>
      <c r="BC135" s="235">
        <f t="shared" si="106"/>
        <v>1</v>
      </c>
      <c r="BD135" s="236">
        <f t="shared" si="107"/>
        <v>0</v>
      </c>
    </row>
    <row r="136" spans="1:56" s="163" customFormat="1" ht="16.25" customHeight="1">
      <c r="A136" s="163" t="s">
        <v>232</v>
      </c>
      <c r="B136" s="163" t="s">
        <v>235</v>
      </c>
      <c r="C136" s="178" t="s">
        <v>293</v>
      </c>
      <c r="D136" s="165">
        <v>1</v>
      </c>
      <c r="E136" s="177">
        <f>bedknifegrindercostyear</f>
        <v>2019</v>
      </c>
      <c r="F136" s="206">
        <f>D136*bedknifegrinderunitcost</f>
        <v>20275</v>
      </c>
      <c r="G136" s="168">
        <v>20275</v>
      </c>
      <c r="H136" s="206">
        <f t="shared" si="90"/>
        <v>20984.625</v>
      </c>
      <c r="I136" s="166">
        <v>2019</v>
      </c>
      <c r="J136" s="166"/>
      <c r="K136" s="177">
        <f>bedknifegrinderlife</f>
        <v>20</v>
      </c>
      <c r="L136" s="169"/>
      <c r="M136" s="168">
        <f t="shared" si="94"/>
        <v>0</v>
      </c>
      <c r="N136" s="168">
        <f t="shared" si="94"/>
        <v>0</v>
      </c>
      <c r="O136" s="168">
        <f t="shared" si="94"/>
        <v>0</v>
      </c>
      <c r="P136" s="168">
        <f t="shared" si="94"/>
        <v>0</v>
      </c>
      <c r="Q136" s="168">
        <f t="shared" si="94"/>
        <v>0</v>
      </c>
      <c r="R136" s="168">
        <f t="shared" si="94"/>
        <v>0</v>
      </c>
      <c r="S136" s="168">
        <f t="shared" si="94"/>
        <v>0</v>
      </c>
      <c r="T136" s="168">
        <f t="shared" si="94"/>
        <v>0</v>
      </c>
      <c r="U136" s="168">
        <f t="shared" si="94"/>
        <v>0</v>
      </c>
      <c r="V136" s="168">
        <f t="shared" si="94"/>
        <v>0</v>
      </c>
      <c r="W136" s="168">
        <f t="shared" si="95"/>
        <v>0</v>
      </c>
      <c r="X136" s="168">
        <f t="shared" si="95"/>
        <v>0</v>
      </c>
      <c r="Y136" s="168">
        <f t="shared" si="95"/>
        <v>0</v>
      </c>
      <c r="Z136" s="168">
        <f t="shared" si="95"/>
        <v>0</v>
      </c>
      <c r="AA136" s="168">
        <f t="shared" si="95"/>
        <v>0</v>
      </c>
      <c r="AB136" s="168">
        <f t="shared" si="95"/>
        <v>0</v>
      </c>
      <c r="AC136" s="168">
        <f t="shared" si="95"/>
        <v>0</v>
      </c>
      <c r="AD136" s="168">
        <f t="shared" si="95"/>
        <v>0</v>
      </c>
      <c r="AE136" s="168">
        <f t="shared" si="95"/>
        <v>0</v>
      </c>
      <c r="AF136" s="168">
        <f t="shared" si="95"/>
        <v>40343</v>
      </c>
      <c r="AG136" s="168">
        <f t="shared" si="96"/>
        <v>0</v>
      </c>
      <c r="AH136" s="168">
        <f t="shared" si="96"/>
        <v>0</v>
      </c>
      <c r="AI136" s="168">
        <f t="shared" si="96"/>
        <v>0</v>
      </c>
      <c r="AJ136" s="168">
        <f t="shared" si="96"/>
        <v>0</v>
      </c>
      <c r="AK136" s="168">
        <f t="shared" si="96"/>
        <v>0</v>
      </c>
      <c r="AL136" s="168">
        <f t="shared" si="96"/>
        <v>0</v>
      </c>
      <c r="AM136" s="168">
        <f t="shared" si="96"/>
        <v>0</v>
      </c>
      <c r="AN136" s="168">
        <f t="shared" si="96"/>
        <v>0</v>
      </c>
      <c r="AO136" s="168">
        <f t="shared" si="96"/>
        <v>0</v>
      </c>
      <c r="AP136" s="168">
        <f t="shared" si="96"/>
        <v>0</v>
      </c>
      <c r="AQ136" s="170"/>
      <c r="AR136" s="171">
        <f t="shared" si="97"/>
        <v>40343.000099999997</v>
      </c>
      <c r="AT136" s="166">
        <f t="shared" si="98"/>
        <v>2019</v>
      </c>
      <c r="AU136" s="166">
        <f t="shared" si="99"/>
        <v>0</v>
      </c>
      <c r="AV136" s="166">
        <v>100</v>
      </c>
      <c r="AW136" s="241">
        <f t="shared" si="100"/>
        <v>0</v>
      </c>
      <c r="AX136" s="166">
        <f t="shared" si="101"/>
        <v>0</v>
      </c>
      <c r="AY136" s="166">
        <f t="shared" si="102"/>
        <v>0</v>
      </c>
      <c r="AZ136" s="242">
        <f t="shared" si="103"/>
        <v>0</v>
      </c>
      <c r="BA136" s="234">
        <f t="shared" si="104"/>
        <v>0</v>
      </c>
      <c r="BB136" s="235">
        <f t="shared" si="105"/>
        <v>0</v>
      </c>
      <c r="BC136" s="235">
        <f t="shared" si="106"/>
        <v>1</v>
      </c>
      <c r="BD136" s="236">
        <f t="shared" si="107"/>
        <v>0</v>
      </c>
    </row>
    <row r="137" spans="1:56" s="163" customFormat="1" ht="16.25" customHeight="1">
      <c r="A137" s="163" t="s">
        <v>232</v>
      </c>
      <c r="B137" s="163" t="s">
        <v>235</v>
      </c>
      <c r="C137" s="164" t="s">
        <v>63</v>
      </c>
      <c r="D137" s="165">
        <v>1</v>
      </c>
      <c r="E137" s="177">
        <f>blowercostyear</f>
        <v>2019</v>
      </c>
      <c r="F137" s="206">
        <f>D137*blowerunitcost</f>
        <v>8000</v>
      </c>
      <c r="G137" s="168">
        <v>0</v>
      </c>
      <c r="H137" s="206">
        <f t="shared" si="90"/>
        <v>8280</v>
      </c>
      <c r="I137" s="166">
        <v>2015</v>
      </c>
      <c r="J137" s="166">
        <v>0</v>
      </c>
      <c r="K137" s="177">
        <f>blowerlife</f>
        <v>15</v>
      </c>
      <c r="L137" s="169"/>
      <c r="M137" s="168">
        <f t="shared" si="94"/>
        <v>0</v>
      </c>
      <c r="N137" s="168">
        <f t="shared" si="94"/>
        <v>0</v>
      </c>
      <c r="O137" s="168">
        <f t="shared" si="94"/>
        <v>0</v>
      </c>
      <c r="P137" s="168">
        <f t="shared" si="94"/>
        <v>0</v>
      </c>
      <c r="Q137" s="168">
        <f t="shared" si="94"/>
        <v>0</v>
      </c>
      <c r="R137" s="168">
        <f t="shared" si="94"/>
        <v>0</v>
      </c>
      <c r="S137" s="168">
        <f t="shared" si="94"/>
        <v>0</v>
      </c>
      <c r="T137" s="168">
        <f t="shared" si="94"/>
        <v>0</v>
      </c>
      <c r="U137" s="168">
        <f t="shared" si="94"/>
        <v>0</v>
      </c>
      <c r="V137" s="168">
        <f t="shared" si="94"/>
        <v>0</v>
      </c>
      <c r="W137" s="168">
        <f t="shared" si="95"/>
        <v>11680</v>
      </c>
      <c r="X137" s="168">
        <f t="shared" si="95"/>
        <v>0</v>
      </c>
      <c r="Y137" s="168">
        <f t="shared" si="95"/>
        <v>0</v>
      </c>
      <c r="Z137" s="168">
        <f t="shared" si="95"/>
        <v>0</v>
      </c>
      <c r="AA137" s="168">
        <f t="shared" si="95"/>
        <v>0</v>
      </c>
      <c r="AB137" s="168">
        <f t="shared" si="95"/>
        <v>0</v>
      </c>
      <c r="AC137" s="168">
        <f t="shared" si="95"/>
        <v>0</v>
      </c>
      <c r="AD137" s="168">
        <f t="shared" si="95"/>
        <v>0</v>
      </c>
      <c r="AE137" s="168">
        <f t="shared" si="95"/>
        <v>0</v>
      </c>
      <c r="AF137" s="168">
        <f t="shared" si="95"/>
        <v>0</v>
      </c>
      <c r="AG137" s="168">
        <f t="shared" si="96"/>
        <v>0</v>
      </c>
      <c r="AH137" s="168">
        <f t="shared" si="96"/>
        <v>0</v>
      </c>
      <c r="AI137" s="168">
        <f t="shared" si="96"/>
        <v>0</v>
      </c>
      <c r="AJ137" s="168">
        <f t="shared" si="96"/>
        <v>0</v>
      </c>
      <c r="AK137" s="168">
        <f t="shared" si="96"/>
        <v>0</v>
      </c>
      <c r="AL137" s="168">
        <f t="shared" si="96"/>
        <v>19568</v>
      </c>
      <c r="AM137" s="168">
        <f t="shared" si="96"/>
        <v>0</v>
      </c>
      <c r="AN137" s="168">
        <f t="shared" si="96"/>
        <v>0</v>
      </c>
      <c r="AO137" s="168">
        <f t="shared" si="96"/>
        <v>0</v>
      </c>
      <c r="AP137" s="168">
        <f t="shared" si="96"/>
        <v>0</v>
      </c>
      <c r="AQ137" s="170"/>
      <c r="AR137" s="171">
        <f t="shared" si="97"/>
        <v>31248.000100000001</v>
      </c>
      <c r="AT137" s="166">
        <f t="shared" si="98"/>
        <v>2015</v>
      </c>
      <c r="AU137" s="166">
        <f t="shared" si="99"/>
        <v>0</v>
      </c>
      <c r="AV137" s="166">
        <v>100</v>
      </c>
      <c r="AW137" s="241">
        <f t="shared" si="100"/>
        <v>0</v>
      </c>
      <c r="AX137" s="166">
        <f t="shared" si="101"/>
        <v>0</v>
      </c>
      <c r="AY137" s="166">
        <f t="shared" si="102"/>
        <v>0</v>
      </c>
      <c r="AZ137" s="242">
        <f t="shared" si="103"/>
        <v>0</v>
      </c>
      <c r="BA137" s="234">
        <f t="shared" si="104"/>
        <v>0</v>
      </c>
      <c r="BB137" s="235">
        <f t="shared" si="105"/>
        <v>0</v>
      </c>
      <c r="BC137" s="235">
        <f t="shared" si="106"/>
        <v>1</v>
      </c>
      <c r="BD137" s="236">
        <f t="shared" si="107"/>
        <v>0</v>
      </c>
    </row>
    <row r="138" spans="1:56" s="163" customFormat="1" ht="16.25" customHeight="1">
      <c r="A138" s="163" t="s">
        <v>232</v>
      </c>
      <c r="B138" s="163" t="s">
        <v>235</v>
      </c>
      <c r="C138" s="163" t="s">
        <v>64</v>
      </c>
      <c r="D138" s="165">
        <v>1</v>
      </c>
      <c r="E138" s="177">
        <f>cartwashercostyear</f>
        <v>2019</v>
      </c>
      <c r="F138" s="206">
        <f>D138*cartwasherunitcost</f>
        <v>5200</v>
      </c>
      <c r="G138" s="168">
        <v>0</v>
      </c>
      <c r="H138" s="206">
        <f t="shared" si="90"/>
        <v>5382</v>
      </c>
      <c r="I138" s="166">
        <v>2007</v>
      </c>
      <c r="J138" s="166">
        <v>0</v>
      </c>
      <c r="K138" s="177">
        <f>cartwasherlife</f>
        <v>13</v>
      </c>
      <c r="L138" s="169"/>
      <c r="M138" s="168">
        <f t="shared" si="94"/>
        <v>5382</v>
      </c>
      <c r="N138" s="168">
        <f t="shared" si="94"/>
        <v>0</v>
      </c>
      <c r="O138" s="168">
        <f t="shared" si="94"/>
        <v>0</v>
      </c>
      <c r="P138" s="168">
        <f t="shared" si="94"/>
        <v>0</v>
      </c>
      <c r="Q138" s="168">
        <f t="shared" si="94"/>
        <v>0</v>
      </c>
      <c r="R138" s="168">
        <f t="shared" si="94"/>
        <v>0</v>
      </c>
      <c r="S138" s="168">
        <f t="shared" si="94"/>
        <v>0</v>
      </c>
      <c r="T138" s="168">
        <f t="shared" si="94"/>
        <v>0</v>
      </c>
      <c r="U138" s="168">
        <f t="shared" si="94"/>
        <v>0</v>
      </c>
      <c r="V138" s="168">
        <f t="shared" si="94"/>
        <v>0</v>
      </c>
      <c r="W138" s="168">
        <f t="shared" si="95"/>
        <v>0</v>
      </c>
      <c r="X138" s="168">
        <f t="shared" si="95"/>
        <v>0</v>
      </c>
      <c r="Y138" s="168">
        <f t="shared" si="95"/>
        <v>0</v>
      </c>
      <c r="Z138" s="168">
        <f t="shared" si="95"/>
        <v>8417</v>
      </c>
      <c r="AA138" s="168">
        <f t="shared" si="95"/>
        <v>0</v>
      </c>
      <c r="AB138" s="168">
        <f t="shared" si="95"/>
        <v>0</v>
      </c>
      <c r="AC138" s="168">
        <f t="shared" si="95"/>
        <v>0</v>
      </c>
      <c r="AD138" s="168">
        <f t="shared" si="95"/>
        <v>0</v>
      </c>
      <c r="AE138" s="168">
        <f t="shared" si="95"/>
        <v>0</v>
      </c>
      <c r="AF138" s="168">
        <f t="shared" si="95"/>
        <v>0</v>
      </c>
      <c r="AG138" s="168">
        <f t="shared" si="96"/>
        <v>0</v>
      </c>
      <c r="AH138" s="168">
        <f t="shared" si="96"/>
        <v>0</v>
      </c>
      <c r="AI138" s="168">
        <f t="shared" si="96"/>
        <v>0</v>
      </c>
      <c r="AJ138" s="168">
        <f t="shared" si="96"/>
        <v>0</v>
      </c>
      <c r="AK138" s="168">
        <f t="shared" si="96"/>
        <v>0</v>
      </c>
      <c r="AL138" s="168">
        <f t="shared" si="96"/>
        <v>0</v>
      </c>
      <c r="AM138" s="168">
        <f t="shared" si="96"/>
        <v>13164</v>
      </c>
      <c r="AN138" s="168">
        <f t="shared" si="96"/>
        <v>0</v>
      </c>
      <c r="AO138" s="168">
        <f t="shared" si="96"/>
        <v>0</v>
      </c>
      <c r="AP138" s="168">
        <f t="shared" si="96"/>
        <v>0</v>
      </c>
      <c r="AQ138" s="170"/>
      <c r="AR138" s="171">
        <f t="shared" si="97"/>
        <v>26963.000100000001</v>
      </c>
      <c r="AT138" s="166">
        <f t="shared" si="98"/>
        <v>2007</v>
      </c>
      <c r="AU138" s="166">
        <f t="shared" si="99"/>
        <v>0</v>
      </c>
      <c r="AV138" s="166">
        <v>100</v>
      </c>
      <c r="AW138" s="241">
        <f t="shared" si="100"/>
        <v>0</v>
      </c>
      <c r="AX138" s="166">
        <f t="shared" si="101"/>
        <v>0</v>
      </c>
      <c r="AY138" s="166">
        <f t="shared" si="102"/>
        <v>0</v>
      </c>
      <c r="AZ138" s="242">
        <f t="shared" si="103"/>
        <v>0</v>
      </c>
      <c r="BA138" s="234">
        <f t="shared" si="104"/>
        <v>0</v>
      </c>
      <c r="BB138" s="235">
        <f t="shared" si="105"/>
        <v>0</v>
      </c>
      <c r="BC138" s="235">
        <f t="shared" si="106"/>
        <v>1</v>
      </c>
      <c r="BD138" s="236">
        <f t="shared" si="107"/>
        <v>0</v>
      </c>
    </row>
    <row r="139" spans="1:56" s="163" customFormat="1" ht="16.25" customHeight="1">
      <c r="A139" s="163" t="s">
        <v>232</v>
      </c>
      <c r="B139" s="163" t="s">
        <v>235</v>
      </c>
      <c r="C139" s="178" t="s">
        <v>30</v>
      </c>
      <c r="D139" s="165">
        <v>1</v>
      </c>
      <c r="E139" s="177">
        <f>diiggertrenchcostyear</f>
        <v>2019</v>
      </c>
      <c r="F139" s="206">
        <f>D139*diggertrenchunitcost</f>
        <v>13554</v>
      </c>
      <c r="G139" s="168">
        <v>0</v>
      </c>
      <c r="H139" s="206">
        <f t="shared" si="90"/>
        <v>14028.39</v>
      </c>
      <c r="I139" s="166">
        <v>2015</v>
      </c>
      <c r="J139" s="166">
        <v>0</v>
      </c>
      <c r="K139" s="177">
        <f>diggertrencherlife</f>
        <v>20</v>
      </c>
      <c r="L139" s="169"/>
      <c r="M139" s="168">
        <f t="shared" ref="M139:V148" si="108">ROUND($H139*IF(AND(M$1&gt;=($I139+$J139),MOD(M$1-($I139+$J139),$K139)=0),(1+InflationRate)^(M$1-AnalysisYear),0),0)*IF(AND(M$1&gt;=($AT139+$AU139),(M$1-($AT139+$AU139))&lt;&gt;0,MOD(M$1-($AT139+$AU139),$AV139)=0),0,1)</f>
        <v>0</v>
      </c>
      <c r="N139" s="168">
        <f t="shared" si="108"/>
        <v>0</v>
      </c>
      <c r="O139" s="168">
        <f t="shared" si="108"/>
        <v>0</v>
      </c>
      <c r="P139" s="168">
        <f t="shared" si="108"/>
        <v>0</v>
      </c>
      <c r="Q139" s="168">
        <f t="shared" si="108"/>
        <v>0</v>
      </c>
      <c r="R139" s="168">
        <f t="shared" si="108"/>
        <v>0</v>
      </c>
      <c r="S139" s="168">
        <f t="shared" si="108"/>
        <v>0</v>
      </c>
      <c r="T139" s="168">
        <f t="shared" si="108"/>
        <v>0</v>
      </c>
      <c r="U139" s="168">
        <f t="shared" si="108"/>
        <v>0</v>
      </c>
      <c r="V139" s="168">
        <f t="shared" si="108"/>
        <v>0</v>
      </c>
      <c r="W139" s="168">
        <f t="shared" ref="W139:AF148" si="109">ROUND($H139*IF(AND(W$1&gt;=($I139+$J139),MOD(W$1-($I139+$J139),$K139)=0),(1+InflationRate)^(W$1-AnalysisYear),0),0)*IF(AND(W$1&gt;=($AT139+$AU139),(W$1-($AT139+$AU139))&lt;&gt;0,MOD(W$1-($AT139+$AU139),$AV139)=0),0,1)</f>
        <v>0</v>
      </c>
      <c r="X139" s="168">
        <f t="shared" si="109"/>
        <v>0</v>
      </c>
      <c r="Y139" s="168">
        <f t="shared" si="109"/>
        <v>0</v>
      </c>
      <c r="Z139" s="168">
        <f t="shared" si="109"/>
        <v>0</v>
      </c>
      <c r="AA139" s="168">
        <f t="shared" si="109"/>
        <v>0</v>
      </c>
      <c r="AB139" s="168">
        <f t="shared" si="109"/>
        <v>23502</v>
      </c>
      <c r="AC139" s="168">
        <f t="shared" si="109"/>
        <v>0</v>
      </c>
      <c r="AD139" s="168">
        <f t="shared" si="109"/>
        <v>0</v>
      </c>
      <c r="AE139" s="168">
        <f t="shared" si="109"/>
        <v>0</v>
      </c>
      <c r="AF139" s="168">
        <f t="shared" si="109"/>
        <v>0</v>
      </c>
      <c r="AG139" s="168">
        <f t="shared" ref="AG139:AP148" si="110">ROUND($H139*IF(AND(AG$1&gt;=($I139+$J139),MOD(AG$1-($I139+$J139),$K139)=0),(1+InflationRate)^(AG$1-AnalysisYear),0),0)*IF(AND(AG$1&gt;=($AT139+$AU139),(AG$1-($AT139+$AU139))&lt;&gt;0,MOD(AG$1-($AT139+$AU139),$AV139)=0),0,1)</f>
        <v>0</v>
      </c>
      <c r="AH139" s="168">
        <f t="shared" si="110"/>
        <v>0</v>
      </c>
      <c r="AI139" s="168">
        <f t="shared" si="110"/>
        <v>0</v>
      </c>
      <c r="AJ139" s="168">
        <f t="shared" si="110"/>
        <v>0</v>
      </c>
      <c r="AK139" s="168">
        <f t="shared" si="110"/>
        <v>0</v>
      </c>
      <c r="AL139" s="168">
        <f t="shared" si="110"/>
        <v>0</v>
      </c>
      <c r="AM139" s="168">
        <f t="shared" si="110"/>
        <v>0</v>
      </c>
      <c r="AN139" s="168">
        <f t="shared" si="110"/>
        <v>0</v>
      </c>
      <c r="AO139" s="168">
        <f t="shared" si="110"/>
        <v>0</v>
      </c>
      <c r="AP139" s="168">
        <f t="shared" si="110"/>
        <v>0</v>
      </c>
      <c r="AQ139" s="170"/>
      <c r="AR139" s="171">
        <f t="shared" si="97"/>
        <v>23502.000100000001</v>
      </c>
      <c r="AT139" s="166">
        <f t="shared" si="98"/>
        <v>2015</v>
      </c>
      <c r="AU139" s="166">
        <f t="shared" si="99"/>
        <v>0</v>
      </c>
      <c r="AV139" s="166">
        <v>100</v>
      </c>
      <c r="AW139" s="241">
        <f t="shared" si="100"/>
        <v>0</v>
      </c>
      <c r="AX139" s="166">
        <f t="shared" si="101"/>
        <v>0</v>
      </c>
      <c r="AY139" s="166">
        <f t="shared" si="102"/>
        <v>0</v>
      </c>
      <c r="AZ139" s="242">
        <f t="shared" si="103"/>
        <v>0</v>
      </c>
      <c r="BA139" s="234">
        <f t="shared" si="104"/>
        <v>0</v>
      </c>
      <c r="BB139" s="235">
        <f t="shared" si="105"/>
        <v>0</v>
      </c>
      <c r="BC139" s="235">
        <f t="shared" si="106"/>
        <v>1</v>
      </c>
      <c r="BD139" s="236">
        <f t="shared" si="107"/>
        <v>0</v>
      </c>
    </row>
    <row r="140" spans="1:56" s="163" customFormat="1" ht="16.25" customHeight="1">
      <c r="A140" s="163" t="s">
        <v>232</v>
      </c>
      <c r="B140" s="163" t="s">
        <v>235</v>
      </c>
      <c r="C140" s="164" t="s">
        <v>29</v>
      </c>
      <c r="D140" s="165">
        <v>1</v>
      </c>
      <c r="E140" s="177">
        <f>dressertopcostyear</f>
        <v>2019</v>
      </c>
      <c r="F140" s="206">
        <f>D140*dressertopunitcost</f>
        <v>11000</v>
      </c>
      <c r="G140" s="168">
        <v>0</v>
      </c>
      <c r="H140" s="206">
        <f t="shared" si="90"/>
        <v>11385</v>
      </c>
      <c r="I140" s="166">
        <v>1998</v>
      </c>
      <c r="J140" s="166">
        <v>15</v>
      </c>
      <c r="K140" s="177">
        <f>dressertoplife</f>
        <v>24</v>
      </c>
      <c r="L140" s="169"/>
      <c r="M140" s="168">
        <f t="shared" si="108"/>
        <v>0</v>
      </c>
      <c r="N140" s="168">
        <f t="shared" si="108"/>
        <v>0</v>
      </c>
      <c r="O140" s="168">
        <f t="shared" si="108"/>
        <v>0</v>
      </c>
      <c r="P140" s="168">
        <f t="shared" si="108"/>
        <v>0</v>
      </c>
      <c r="Q140" s="168">
        <f t="shared" si="108"/>
        <v>0</v>
      </c>
      <c r="R140" s="168">
        <f t="shared" si="108"/>
        <v>0</v>
      </c>
      <c r="S140" s="168">
        <f t="shared" si="108"/>
        <v>0</v>
      </c>
      <c r="T140" s="168">
        <f t="shared" si="108"/>
        <v>0</v>
      </c>
      <c r="U140" s="168">
        <f t="shared" si="108"/>
        <v>0</v>
      </c>
      <c r="V140" s="168">
        <f t="shared" si="108"/>
        <v>0</v>
      </c>
      <c r="W140" s="168">
        <f t="shared" si="109"/>
        <v>0</v>
      </c>
      <c r="X140" s="168">
        <f t="shared" si="109"/>
        <v>0</v>
      </c>
      <c r="Y140" s="168">
        <f t="shared" si="109"/>
        <v>0</v>
      </c>
      <c r="Z140" s="168">
        <f t="shared" si="109"/>
        <v>0</v>
      </c>
      <c r="AA140" s="168">
        <f t="shared" si="109"/>
        <v>0</v>
      </c>
      <c r="AB140" s="168">
        <f t="shared" si="109"/>
        <v>0</v>
      </c>
      <c r="AC140" s="168">
        <f t="shared" si="109"/>
        <v>0</v>
      </c>
      <c r="AD140" s="168">
        <f t="shared" si="109"/>
        <v>20432</v>
      </c>
      <c r="AE140" s="168">
        <f t="shared" si="109"/>
        <v>0</v>
      </c>
      <c r="AF140" s="168">
        <f t="shared" si="109"/>
        <v>0</v>
      </c>
      <c r="AG140" s="168">
        <f t="shared" si="110"/>
        <v>0</v>
      </c>
      <c r="AH140" s="168">
        <f t="shared" si="110"/>
        <v>0</v>
      </c>
      <c r="AI140" s="168">
        <f t="shared" si="110"/>
        <v>0</v>
      </c>
      <c r="AJ140" s="168">
        <f t="shared" si="110"/>
        <v>0</v>
      </c>
      <c r="AK140" s="168">
        <f t="shared" si="110"/>
        <v>0</v>
      </c>
      <c r="AL140" s="168">
        <f t="shared" si="110"/>
        <v>0</v>
      </c>
      <c r="AM140" s="168">
        <f t="shared" si="110"/>
        <v>0</v>
      </c>
      <c r="AN140" s="168">
        <f t="shared" si="110"/>
        <v>0</v>
      </c>
      <c r="AO140" s="168">
        <f t="shared" si="110"/>
        <v>0</v>
      </c>
      <c r="AP140" s="168">
        <f t="shared" si="110"/>
        <v>0</v>
      </c>
      <c r="AQ140" s="170"/>
      <c r="AR140" s="171">
        <f t="shared" si="97"/>
        <v>20432.000100000001</v>
      </c>
      <c r="AT140" s="166">
        <f t="shared" si="98"/>
        <v>1998</v>
      </c>
      <c r="AU140" s="166">
        <f t="shared" si="99"/>
        <v>15</v>
      </c>
      <c r="AV140" s="166">
        <v>100</v>
      </c>
      <c r="AW140" s="241">
        <f t="shared" si="100"/>
        <v>0</v>
      </c>
      <c r="AX140" s="166">
        <f t="shared" si="101"/>
        <v>0</v>
      </c>
      <c r="AY140" s="166">
        <f t="shared" si="102"/>
        <v>0</v>
      </c>
      <c r="AZ140" s="242">
        <f t="shared" si="103"/>
        <v>0</v>
      </c>
      <c r="BA140" s="234">
        <f t="shared" si="104"/>
        <v>0</v>
      </c>
      <c r="BB140" s="235">
        <f t="shared" si="105"/>
        <v>0</v>
      </c>
      <c r="BC140" s="235">
        <f t="shared" si="106"/>
        <v>1</v>
      </c>
      <c r="BD140" s="236">
        <f t="shared" si="107"/>
        <v>0</v>
      </c>
    </row>
    <row r="141" spans="1:56" s="163" customFormat="1" ht="16.25" customHeight="1">
      <c r="A141" s="163" t="s">
        <v>232</v>
      </c>
      <c r="B141" s="163" t="s">
        <v>235</v>
      </c>
      <c r="C141" s="178" t="s">
        <v>59</v>
      </c>
      <c r="D141" s="166">
        <v>23</v>
      </c>
      <c r="E141" s="177">
        <f>golfcartcostyear</f>
        <v>2019</v>
      </c>
      <c r="F141" s="206">
        <f>D141*golfcartunitcost</f>
        <v>202400</v>
      </c>
      <c r="G141" s="168">
        <v>0</v>
      </c>
      <c r="H141" s="206">
        <f t="shared" si="90"/>
        <v>209483.99999999997</v>
      </c>
      <c r="I141" s="166">
        <v>2012</v>
      </c>
      <c r="J141" s="166"/>
      <c r="K141" s="177">
        <f>golfcartlife</f>
        <v>12</v>
      </c>
      <c r="L141" s="169"/>
      <c r="M141" s="168">
        <f t="shared" si="108"/>
        <v>0</v>
      </c>
      <c r="N141" s="168">
        <f t="shared" si="108"/>
        <v>0</v>
      </c>
      <c r="O141" s="168">
        <f t="shared" si="108"/>
        <v>0</v>
      </c>
      <c r="P141" s="168">
        <f t="shared" si="108"/>
        <v>0</v>
      </c>
      <c r="Q141" s="168">
        <f t="shared" si="108"/>
        <v>240388</v>
      </c>
      <c r="R141" s="168">
        <f t="shared" si="108"/>
        <v>0</v>
      </c>
      <c r="S141" s="168">
        <f t="shared" si="108"/>
        <v>0</v>
      </c>
      <c r="T141" s="168">
        <f t="shared" si="108"/>
        <v>0</v>
      </c>
      <c r="U141" s="168">
        <f t="shared" si="108"/>
        <v>0</v>
      </c>
      <c r="V141" s="168">
        <f t="shared" si="108"/>
        <v>0</v>
      </c>
      <c r="W141" s="168">
        <f t="shared" si="109"/>
        <v>0</v>
      </c>
      <c r="X141" s="168">
        <f t="shared" si="109"/>
        <v>0</v>
      </c>
      <c r="Y141" s="168">
        <f t="shared" si="109"/>
        <v>0</v>
      </c>
      <c r="Z141" s="168">
        <f t="shared" si="109"/>
        <v>0</v>
      </c>
      <c r="AA141" s="168">
        <f t="shared" si="109"/>
        <v>0</v>
      </c>
      <c r="AB141" s="168">
        <f t="shared" si="109"/>
        <v>0</v>
      </c>
      <c r="AC141" s="168">
        <f t="shared" si="109"/>
        <v>363242</v>
      </c>
      <c r="AD141" s="168">
        <f t="shared" si="109"/>
        <v>0</v>
      </c>
      <c r="AE141" s="168">
        <f t="shared" si="109"/>
        <v>0</v>
      </c>
      <c r="AF141" s="168">
        <f t="shared" si="109"/>
        <v>0</v>
      </c>
      <c r="AG141" s="168">
        <f t="shared" si="110"/>
        <v>0</v>
      </c>
      <c r="AH141" s="168">
        <f t="shared" si="110"/>
        <v>0</v>
      </c>
      <c r="AI141" s="168">
        <f t="shared" si="110"/>
        <v>0</v>
      </c>
      <c r="AJ141" s="168">
        <f t="shared" si="110"/>
        <v>0</v>
      </c>
      <c r="AK141" s="168">
        <f t="shared" si="110"/>
        <v>0</v>
      </c>
      <c r="AL141" s="168">
        <f t="shared" si="110"/>
        <v>0</v>
      </c>
      <c r="AM141" s="168">
        <f t="shared" si="110"/>
        <v>0</v>
      </c>
      <c r="AN141" s="168">
        <f t="shared" si="110"/>
        <v>0</v>
      </c>
      <c r="AO141" s="168">
        <f t="shared" si="110"/>
        <v>548884</v>
      </c>
      <c r="AP141" s="168">
        <f t="shared" si="110"/>
        <v>0</v>
      </c>
      <c r="AQ141" s="170"/>
      <c r="AR141" s="171">
        <f t="shared" si="97"/>
        <v>1152514.0001000001</v>
      </c>
      <c r="AT141" s="166">
        <v>2016</v>
      </c>
      <c r="AU141" s="166">
        <f t="shared" si="99"/>
        <v>0</v>
      </c>
      <c r="AV141" s="166">
        <v>100</v>
      </c>
      <c r="AW141" s="241">
        <f t="shared" si="100"/>
        <v>0</v>
      </c>
      <c r="AX141" s="166">
        <f t="shared" si="101"/>
        <v>0</v>
      </c>
      <c r="AY141" s="166">
        <f t="shared" si="102"/>
        <v>0</v>
      </c>
      <c r="AZ141" s="242">
        <f t="shared" si="103"/>
        <v>0</v>
      </c>
      <c r="BA141" s="234">
        <f t="shared" si="104"/>
        <v>0</v>
      </c>
      <c r="BB141" s="235">
        <f t="shared" si="105"/>
        <v>0</v>
      </c>
      <c r="BC141" s="235">
        <f t="shared" si="106"/>
        <v>1</v>
      </c>
      <c r="BD141" s="236">
        <f t="shared" si="107"/>
        <v>0</v>
      </c>
    </row>
    <row r="142" spans="1:56" s="163" customFormat="1" ht="16.25" customHeight="1">
      <c r="A142" s="163" t="s">
        <v>232</v>
      </c>
      <c r="B142" s="163" t="s">
        <v>235</v>
      </c>
      <c r="C142" s="164" t="s">
        <v>397</v>
      </c>
      <c r="D142" s="166">
        <v>138</v>
      </c>
      <c r="E142" s="177">
        <f>golfcartbatteriescostyear</f>
        <v>2019</v>
      </c>
      <c r="F142" s="206">
        <f>D142*golfcartbatteriesunitcost</f>
        <v>42090</v>
      </c>
      <c r="G142" s="168">
        <v>0</v>
      </c>
      <c r="H142" s="206">
        <f t="shared" si="90"/>
        <v>43563.149999999994</v>
      </c>
      <c r="I142" s="166">
        <v>2016</v>
      </c>
      <c r="J142" s="166"/>
      <c r="K142" s="177">
        <f>golfcartbatterieslife</f>
        <v>4</v>
      </c>
      <c r="L142" s="169"/>
      <c r="M142" s="168">
        <f t="shared" si="108"/>
        <v>43563</v>
      </c>
      <c r="N142" s="168">
        <f t="shared" si="108"/>
        <v>0</v>
      </c>
      <c r="O142" s="168">
        <f t="shared" si="108"/>
        <v>0</v>
      </c>
      <c r="P142" s="168">
        <f t="shared" si="108"/>
        <v>0</v>
      </c>
      <c r="Q142" s="168">
        <f t="shared" si="108"/>
        <v>49990</v>
      </c>
      <c r="R142" s="168">
        <f t="shared" si="108"/>
        <v>0</v>
      </c>
      <c r="S142" s="168">
        <f t="shared" si="108"/>
        <v>0</v>
      </c>
      <c r="T142" s="168">
        <f t="shared" si="108"/>
        <v>0</v>
      </c>
      <c r="U142" s="168">
        <f t="shared" si="108"/>
        <v>57364</v>
      </c>
      <c r="V142" s="168">
        <f t="shared" si="108"/>
        <v>0</v>
      </c>
      <c r="W142" s="168">
        <f t="shared" si="109"/>
        <v>0</v>
      </c>
      <c r="X142" s="168">
        <f t="shared" si="109"/>
        <v>0</v>
      </c>
      <c r="Y142" s="168">
        <f t="shared" si="109"/>
        <v>65827</v>
      </c>
      <c r="Z142" s="168">
        <f t="shared" si="109"/>
        <v>0</v>
      </c>
      <c r="AA142" s="168">
        <f t="shared" si="109"/>
        <v>0</v>
      </c>
      <c r="AB142" s="168">
        <f t="shared" si="109"/>
        <v>0</v>
      </c>
      <c r="AC142" s="168">
        <f t="shared" si="109"/>
        <v>75538</v>
      </c>
      <c r="AD142" s="168">
        <f t="shared" si="109"/>
        <v>0</v>
      </c>
      <c r="AE142" s="168">
        <f t="shared" si="109"/>
        <v>0</v>
      </c>
      <c r="AF142" s="168">
        <f t="shared" si="109"/>
        <v>0</v>
      </c>
      <c r="AG142" s="168">
        <f t="shared" si="110"/>
        <v>86681</v>
      </c>
      <c r="AH142" s="168">
        <f t="shared" si="110"/>
        <v>0</v>
      </c>
      <c r="AI142" s="168">
        <f t="shared" si="110"/>
        <v>0</v>
      </c>
      <c r="AJ142" s="168">
        <f t="shared" si="110"/>
        <v>0</v>
      </c>
      <c r="AK142" s="168">
        <f t="shared" si="110"/>
        <v>99469</v>
      </c>
      <c r="AL142" s="168">
        <f t="shared" si="110"/>
        <v>0</v>
      </c>
      <c r="AM142" s="168">
        <f t="shared" si="110"/>
        <v>0</v>
      </c>
      <c r="AN142" s="168">
        <f t="shared" si="110"/>
        <v>0</v>
      </c>
      <c r="AO142" s="168">
        <f t="shared" si="110"/>
        <v>114143</v>
      </c>
      <c r="AP142" s="168">
        <f t="shared" si="110"/>
        <v>0</v>
      </c>
      <c r="AQ142" s="170"/>
      <c r="AR142" s="171">
        <f t="shared" si="97"/>
        <v>592575.00009999995</v>
      </c>
      <c r="AT142" s="166">
        <v>2016</v>
      </c>
      <c r="AU142" s="166">
        <f t="shared" si="99"/>
        <v>0</v>
      </c>
      <c r="AV142" s="166">
        <v>50</v>
      </c>
      <c r="AW142" s="241">
        <f t="shared" si="100"/>
        <v>0</v>
      </c>
      <c r="AX142" s="166">
        <f t="shared" si="101"/>
        <v>0</v>
      </c>
      <c r="AY142" s="166">
        <f t="shared" si="102"/>
        <v>0</v>
      </c>
      <c r="AZ142" s="242">
        <f t="shared" si="103"/>
        <v>0</v>
      </c>
      <c r="BA142" s="234">
        <f t="shared" si="104"/>
        <v>0</v>
      </c>
      <c r="BB142" s="235">
        <f t="shared" si="105"/>
        <v>0</v>
      </c>
      <c r="BC142" s="235">
        <f t="shared" si="106"/>
        <v>1</v>
      </c>
      <c r="BD142" s="236">
        <f t="shared" si="107"/>
        <v>0</v>
      </c>
    </row>
    <row r="143" spans="1:56" s="163" customFormat="1" ht="16.25" customHeight="1">
      <c r="A143" s="163" t="s">
        <v>232</v>
      </c>
      <c r="B143" s="163" t="s">
        <v>235</v>
      </c>
      <c r="C143" s="164" t="s">
        <v>294</v>
      </c>
      <c r="D143" s="165">
        <v>1</v>
      </c>
      <c r="E143" s="177">
        <f>golfequiplifecostyear</f>
        <v>2019</v>
      </c>
      <c r="F143" s="206">
        <f>D143*golfequipliftunitcost</f>
        <v>9829</v>
      </c>
      <c r="G143" s="168">
        <v>9829</v>
      </c>
      <c r="H143" s="206">
        <f t="shared" si="90"/>
        <v>10173.014999999999</v>
      </c>
      <c r="I143" s="166">
        <v>2019</v>
      </c>
      <c r="J143" s="166"/>
      <c r="K143" s="177">
        <f>golfequipliftlife</f>
        <v>20</v>
      </c>
      <c r="L143" s="169"/>
      <c r="M143" s="168">
        <f t="shared" si="108"/>
        <v>0</v>
      </c>
      <c r="N143" s="168">
        <f t="shared" si="108"/>
        <v>0</v>
      </c>
      <c r="O143" s="168">
        <f t="shared" si="108"/>
        <v>0</v>
      </c>
      <c r="P143" s="168">
        <f t="shared" si="108"/>
        <v>0</v>
      </c>
      <c r="Q143" s="168">
        <f t="shared" si="108"/>
        <v>0</v>
      </c>
      <c r="R143" s="168">
        <f t="shared" si="108"/>
        <v>0</v>
      </c>
      <c r="S143" s="168">
        <f t="shared" si="108"/>
        <v>0</v>
      </c>
      <c r="T143" s="168">
        <f t="shared" si="108"/>
        <v>0</v>
      </c>
      <c r="U143" s="168">
        <f t="shared" si="108"/>
        <v>0</v>
      </c>
      <c r="V143" s="168">
        <f t="shared" si="108"/>
        <v>0</v>
      </c>
      <c r="W143" s="168">
        <f t="shared" si="109"/>
        <v>0</v>
      </c>
      <c r="X143" s="168">
        <f t="shared" si="109"/>
        <v>0</v>
      </c>
      <c r="Y143" s="168">
        <f t="shared" si="109"/>
        <v>0</v>
      </c>
      <c r="Z143" s="168">
        <f t="shared" si="109"/>
        <v>0</v>
      </c>
      <c r="AA143" s="168">
        <f t="shared" si="109"/>
        <v>0</v>
      </c>
      <c r="AB143" s="168">
        <f t="shared" si="109"/>
        <v>0</v>
      </c>
      <c r="AC143" s="168">
        <f t="shared" si="109"/>
        <v>0</v>
      </c>
      <c r="AD143" s="168">
        <f t="shared" si="109"/>
        <v>0</v>
      </c>
      <c r="AE143" s="168">
        <f t="shared" si="109"/>
        <v>0</v>
      </c>
      <c r="AF143" s="168">
        <f t="shared" si="109"/>
        <v>19558</v>
      </c>
      <c r="AG143" s="168">
        <f t="shared" si="110"/>
        <v>0</v>
      </c>
      <c r="AH143" s="168">
        <f t="shared" si="110"/>
        <v>0</v>
      </c>
      <c r="AI143" s="168">
        <f t="shared" si="110"/>
        <v>0</v>
      </c>
      <c r="AJ143" s="168">
        <f t="shared" si="110"/>
        <v>0</v>
      </c>
      <c r="AK143" s="168">
        <f t="shared" si="110"/>
        <v>0</v>
      </c>
      <c r="AL143" s="168">
        <f t="shared" si="110"/>
        <v>0</v>
      </c>
      <c r="AM143" s="168">
        <f t="shared" si="110"/>
        <v>0</v>
      </c>
      <c r="AN143" s="168">
        <f t="shared" si="110"/>
        <v>0</v>
      </c>
      <c r="AO143" s="168">
        <f t="shared" si="110"/>
        <v>0</v>
      </c>
      <c r="AP143" s="168">
        <f t="shared" si="110"/>
        <v>0</v>
      </c>
      <c r="AQ143" s="170"/>
      <c r="AR143" s="171">
        <f t="shared" si="97"/>
        <v>19558.000100000001</v>
      </c>
      <c r="AT143" s="166">
        <f t="shared" si="98"/>
        <v>2019</v>
      </c>
      <c r="AU143" s="166">
        <f t="shared" si="99"/>
        <v>0</v>
      </c>
      <c r="AV143" s="166">
        <v>100</v>
      </c>
      <c r="AW143" s="241">
        <f t="shared" si="100"/>
        <v>0</v>
      </c>
      <c r="AX143" s="166">
        <f t="shared" si="101"/>
        <v>0</v>
      </c>
      <c r="AY143" s="166">
        <f t="shared" si="102"/>
        <v>0</v>
      </c>
      <c r="AZ143" s="242">
        <f t="shared" si="103"/>
        <v>0</v>
      </c>
      <c r="BA143" s="234">
        <f t="shared" si="104"/>
        <v>0</v>
      </c>
      <c r="BB143" s="235">
        <f t="shared" si="105"/>
        <v>0</v>
      </c>
      <c r="BC143" s="235">
        <f t="shared" si="106"/>
        <v>1</v>
      </c>
      <c r="BD143" s="236">
        <f t="shared" si="107"/>
        <v>0</v>
      </c>
    </row>
    <row r="144" spans="1:56" s="163" customFormat="1" ht="16.25" customHeight="1">
      <c r="A144" s="163" t="s">
        <v>232</v>
      </c>
      <c r="B144" s="163" t="s">
        <v>235</v>
      </c>
      <c r="C144" s="187" t="s">
        <v>374</v>
      </c>
      <c r="D144" s="165">
        <v>1</v>
      </c>
      <c r="E144" s="177">
        <f>grinderRBknifecostyear</f>
        <v>2018</v>
      </c>
      <c r="F144" s="206">
        <f>D144*GrinderRBknifeunitcost</f>
        <v>46540</v>
      </c>
      <c r="G144" s="168">
        <v>0</v>
      </c>
      <c r="H144" s="206">
        <f t="shared" si="90"/>
        <v>49854.811499999996</v>
      </c>
      <c r="I144" s="166">
        <v>2004</v>
      </c>
      <c r="J144" s="166"/>
      <c r="K144" s="177">
        <f>GrinderRBknifelife</f>
        <v>16</v>
      </c>
      <c r="L144" s="169"/>
      <c r="M144" s="168">
        <f t="shared" si="108"/>
        <v>49855</v>
      </c>
      <c r="N144" s="168">
        <f t="shared" si="108"/>
        <v>0</v>
      </c>
      <c r="O144" s="168">
        <f t="shared" si="108"/>
        <v>0</v>
      </c>
      <c r="P144" s="168">
        <f t="shared" si="108"/>
        <v>0</v>
      </c>
      <c r="Q144" s="168">
        <f t="shared" si="108"/>
        <v>0</v>
      </c>
      <c r="R144" s="168">
        <f t="shared" si="108"/>
        <v>0</v>
      </c>
      <c r="S144" s="168">
        <f t="shared" si="108"/>
        <v>0</v>
      </c>
      <c r="T144" s="168">
        <f t="shared" si="108"/>
        <v>0</v>
      </c>
      <c r="U144" s="168">
        <f t="shared" si="108"/>
        <v>0</v>
      </c>
      <c r="V144" s="168">
        <f t="shared" si="108"/>
        <v>0</v>
      </c>
      <c r="W144" s="168">
        <f t="shared" si="109"/>
        <v>0</v>
      </c>
      <c r="X144" s="168">
        <f t="shared" si="109"/>
        <v>0</v>
      </c>
      <c r="Y144" s="168">
        <f t="shared" si="109"/>
        <v>0</v>
      </c>
      <c r="Z144" s="168">
        <f t="shared" si="109"/>
        <v>0</v>
      </c>
      <c r="AA144" s="168">
        <f t="shared" si="109"/>
        <v>0</v>
      </c>
      <c r="AB144" s="168">
        <f t="shared" si="109"/>
        <v>0</v>
      </c>
      <c r="AC144" s="168">
        <f t="shared" si="109"/>
        <v>86448</v>
      </c>
      <c r="AD144" s="168">
        <f t="shared" si="109"/>
        <v>0</v>
      </c>
      <c r="AE144" s="168">
        <f t="shared" si="109"/>
        <v>0</v>
      </c>
      <c r="AF144" s="168">
        <f t="shared" si="109"/>
        <v>0</v>
      </c>
      <c r="AG144" s="168">
        <f t="shared" si="110"/>
        <v>0</v>
      </c>
      <c r="AH144" s="168">
        <f t="shared" si="110"/>
        <v>0</v>
      </c>
      <c r="AI144" s="168">
        <f t="shared" si="110"/>
        <v>0</v>
      </c>
      <c r="AJ144" s="168">
        <f t="shared" si="110"/>
        <v>0</v>
      </c>
      <c r="AK144" s="168">
        <f t="shared" si="110"/>
        <v>0</v>
      </c>
      <c r="AL144" s="168">
        <f t="shared" si="110"/>
        <v>0</v>
      </c>
      <c r="AM144" s="168">
        <f t="shared" si="110"/>
        <v>0</v>
      </c>
      <c r="AN144" s="168">
        <f t="shared" si="110"/>
        <v>0</v>
      </c>
      <c r="AO144" s="168">
        <f t="shared" si="110"/>
        <v>0</v>
      </c>
      <c r="AP144" s="168">
        <f t="shared" si="110"/>
        <v>0</v>
      </c>
      <c r="AQ144" s="170"/>
      <c r="AR144" s="171">
        <f t="shared" si="97"/>
        <v>136303.0001</v>
      </c>
      <c r="AT144" s="166">
        <f t="shared" si="98"/>
        <v>2004</v>
      </c>
      <c r="AU144" s="166">
        <f t="shared" si="99"/>
        <v>0</v>
      </c>
      <c r="AV144" s="166">
        <v>100</v>
      </c>
      <c r="AW144" s="241">
        <f t="shared" si="100"/>
        <v>0</v>
      </c>
      <c r="AX144" s="166">
        <f t="shared" si="101"/>
        <v>0</v>
      </c>
      <c r="AY144" s="166">
        <f t="shared" si="102"/>
        <v>0</v>
      </c>
      <c r="AZ144" s="242">
        <f t="shared" si="103"/>
        <v>0</v>
      </c>
      <c r="BA144" s="234">
        <f t="shared" si="104"/>
        <v>0</v>
      </c>
      <c r="BB144" s="235">
        <f t="shared" si="105"/>
        <v>0</v>
      </c>
      <c r="BC144" s="235">
        <f t="shared" si="106"/>
        <v>1</v>
      </c>
      <c r="BD144" s="236">
        <f t="shared" si="107"/>
        <v>0</v>
      </c>
    </row>
    <row r="145" spans="1:56" s="163" customFormat="1" ht="16.25" customHeight="1">
      <c r="A145" s="163" t="s">
        <v>232</v>
      </c>
      <c r="B145" s="163" t="s">
        <v>235</v>
      </c>
      <c r="C145" s="164" t="s">
        <v>39</v>
      </c>
      <c r="D145" s="165">
        <v>1</v>
      </c>
      <c r="E145" s="177">
        <f>HDutilityvehicle603costyear</f>
        <v>2018</v>
      </c>
      <c r="F145" s="206">
        <f>HDutilityvehicle603unitcost*D145</f>
        <v>25295</v>
      </c>
      <c r="G145" s="168">
        <v>0</v>
      </c>
      <c r="H145" s="206">
        <f t="shared" si="90"/>
        <v>27096.636374999998</v>
      </c>
      <c r="I145" s="166">
        <v>2018</v>
      </c>
      <c r="J145" s="166"/>
      <c r="K145" s="177">
        <f>HDutilityvehicle603life</f>
        <v>10</v>
      </c>
      <c r="L145" s="169"/>
      <c r="M145" s="168">
        <f t="shared" si="108"/>
        <v>0</v>
      </c>
      <c r="N145" s="168">
        <f t="shared" si="108"/>
        <v>0</v>
      </c>
      <c r="O145" s="168">
        <f t="shared" si="108"/>
        <v>0</v>
      </c>
      <c r="P145" s="168">
        <f t="shared" si="108"/>
        <v>0</v>
      </c>
      <c r="Q145" s="168">
        <f t="shared" si="108"/>
        <v>0</v>
      </c>
      <c r="R145" s="168">
        <f t="shared" si="108"/>
        <v>0</v>
      </c>
      <c r="S145" s="168">
        <f t="shared" si="108"/>
        <v>0</v>
      </c>
      <c r="T145" s="168">
        <f t="shared" si="108"/>
        <v>0</v>
      </c>
      <c r="U145" s="168">
        <f t="shared" si="108"/>
        <v>35681</v>
      </c>
      <c r="V145" s="168">
        <f t="shared" si="108"/>
        <v>0</v>
      </c>
      <c r="W145" s="168">
        <f t="shared" si="109"/>
        <v>0</v>
      </c>
      <c r="X145" s="168">
        <f t="shared" si="109"/>
        <v>0</v>
      </c>
      <c r="Y145" s="168">
        <f t="shared" si="109"/>
        <v>0</v>
      </c>
      <c r="Z145" s="168">
        <f t="shared" si="109"/>
        <v>0</v>
      </c>
      <c r="AA145" s="168">
        <f t="shared" si="109"/>
        <v>0</v>
      </c>
      <c r="AB145" s="168">
        <f t="shared" si="109"/>
        <v>0</v>
      </c>
      <c r="AC145" s="168">
        <f t="shared" si="109"/>
        <v>0</v>
      </c>
      <c r="AD145" s="168">
        <f t="shared" si="109"/>
        <v>0</v>
      </c>
      <c r="AE145" s="168">
        <f t="shared" si="109"/>
        <v>50332</v>
      </c>
      <c r="AF145" s="168">
        <f t="shared" si="109"/>
        <v>0</v>
      </c>
      <c r="AG145" s="168">
        <f t="shared" si="110"/>
        <v>0</v>
      </c>
      <c r="AH145" s="168">
        <f t="shared" si="110"/>
        <v>0</v>
      </c>
      <c r="AI145" s="168">
        <f t="shared" si="110"/>
        <v>0</v>
      </c>
      <c r="AJ145" s="168">
        <f t="shared" si="110"/>
        <v>0</v>
      </c>
      <c r="AK145" s="168">
        <f t="shared" si="110"/>
        <v>0</v>
      </c>
      <c r="AL145" s="168">
        <f t="shared" si="110"/>
        <v>0</v>
      </c>
      <c r="AM145" s="168">
        <f t="shared" si="110"/>
        <v>0</v>
      </c>
      <c r="AN145" s="168">
        <f t="shared" si="110"/>
        <v>0</v>
      </c>
      <c r="AO145" s="168">
        <f t="shared" si="110"/>
        <v>70998</v>
      </c>
      <c r="AP145" s="168">
        <f t="shared" si="110"/>
        <v>0</v>
      </c>
      <c r="AQ145" s="170"/>
      <c r="AR145" s="171">
        <f t="shared" si="97"/>
        <v>157011.0001</v>
      </c>
      <c r="AT145" s="166">
        <f t="shared" si="98"/>
        <v>2018</v>
      </c>
      <c r="AU145" s="166">
        <f t="shared" si="99"/>
        <v>0</v>
      </c>
      <c r="AV145" s="166">
        <v>100</v>
      </c>
      <c r="AW145" s="241">
        <f t="shared" si="100"/>
        <v>0</v>
      </c>
      <c r="AX145" s="166">
        <f t="shared" si="101"/>
        <v>0</v>
      </c>
      <c r="AY145" s="166">
        <f t="shared" si="102"/>
        <v>0</v>
      </c>
      <c r="AZ145" s="242">
        <f t="shared" si="103"/>
        <v>0</v>
      </c>
      <c r="BA145" s="234">
        <f t="shared" si="104"/>
        <v>0</v>
      </c>
      <c r="BB145" s="235">
        <f t="shared" si="105"/>
        <v>0</v>
      </c>
      <c r="BC145" s="235">
        <f t="shared" si="106"/>
        <v>1</v>
      </c>
      <c r="BD145" s="236">
        <f t="shared" si="107"/>
        <v>0</v>
      </c>
    </row>
    <row r="146" spans="1:56" s="163" customFormat="1" ht="16.25" customHeight="1">
      <c r="A146" s="163" t="s">
        <v>232</v>
      </c>
      <c r="B146" s="163" t="s">
        <v>235</v>
      </c>
      <c r="C146" s="164" t="s">
        <v>41</v>
      </c>
      <c r="D146" s="165">
        <v>1</v>
      </c>
      <c r="E146" s="177">
        <f>HDUtilityVehicle614costyear</f>
        <v>2018</v>
      </c>
      <c r="F146" s="206">
        <f>D146*HDUtilityVehicle614UnitCost</f>
        <v>25925</v>
      </c>
      <c r="G146" s="168">
        <v>0</v>
      </c>
      <c r="H146" s="206">
        <f t="shared" si="90"/>
        <v>27771.508124999997</v>
      </c>
      <c r="I146" s="166">
        <v>2014</v>
      </c>
      <c r="J146" s="166">
        <v>0</v>
      </c>
      <c r="K146" s="177">
        <f>HDUtilityVehicle614Life</f>
        <v>10</v>
      </c>
      <c r="L146" s="169"/>
      <c r="M146" s="168">
        <f t="shared" si="108"/>
        <v>0</v>
      </c>
      <c r="N146" s="168">
        <f t="shared" si="108"/>
        <v>0</v>
      </c>
      <c r="O146" s="168">
        <f t="shared" si="108"/>
        <v>0</v>
      </c>
      <c r="P146" s="168">
        <f t="shared" si="108"/>
        <v>0</v>
      </c>
      <c r="Q146" s="168">
        <f t="shared" si="108"/>
        <v>31868</v>
      </c>
      <c r="R146" s="168">
        <f t="shared" si="108"/>
        <v>0</v>
      </c>
      <c r="S146" s="168">
        <f t="shared" si="108"/>
        <v>0</v>
      </c>
      <c r="T146" s="168">
        <f t="shared" si="108"/>
        <v>0</v>
      </c>
      <c r="U146" s="168">
        <f t="shared" si="108"/>
        <v>0</v>
      </c>
      <c r="V146" s="168">
        <f t="shared" si="108"/>
        <v>0</v>
      </c>
      <c r="W146" s="168">
        <f t="shared" si="109"/>
        <v>0</v>
      </c>
      <c r="X146" s="168">
        <f t="shared" si="109"/>
        <v>0</v>
      </c>
      <c r="Y146" s="168">
        <f t="shared" si="109"/>
        <v>0</v>
      </c>
      <c r="Z146" s="168">
        <f t="shared" si="109"/>
        <v>0</v>
      </c>
      <c r="AA146" s="168">
        <f t="shared" si="109"/>
        <v>44954</v>
      </c>
      <c r="AB146" s="168">
        <f t="shared" si="109"/>
        <v>0</v>
      </c>
      <c r="AC146" s="168">
        <f t="shared" si="109"/>
        <v>0</v>
      </c>
      <c r="AD146" s="168">
        <f t="shared" si="109"/>
        <v>0</v>
      </c>
      <c r="AE146" s="168">
        <f t="shared" si="109"/>
        <v>0</v>
      </c>
      <c r="AF146" s="168">
        <f t="shared" si="109"/>
        <v>0</v>
      </c>
      <c r="AG146" s="168">
        <f t="shared" si="110"/>
        <v>0</v>
      </c>
      <c r="AH146" s="168">
        <f t="shared" si="110"/>
        <v>0</v>
      </c>
      <c r="AI146" s="168">
        <f t="shared" si="110"/>
        <v>0</v>
      </c>
      <c r="AJ146" s="168">
        <f t="shared" si="110"/>
        <v>0</v>
      </c>
      <c r="AK146" s="168">
        <f t="shared" si="110"/>
        <v>63411</v>
      </c>
      <c r="AL146" s="168">
        <f t="shared" si="110"/>
        <v>0</v>
      </c>
      <c r="AM146" s="168">
        <f t="shared" si="110"/>
        <v>0</v>
      </c>
      <c r="AN146" s="168">
        <f t="shared" si="110"/>
        <v>0</v>
      </c>
      <c r="AO146" s="168">
        <f t="shared" si="110"/>
        <v>0</v>
      </c>
      <c r="AP146" s="168">
        <f t="shared" si="110"/>
        <v>0</v>
      </c>
      <c r="AQ146" s="170"/>
      <c r="AR146" s="171">
        <f t="shared" si="97"/>
        <v>140233.0001</v>
      </c>
      <c r="AT146" s="166">
        <f t="shared" si="98"/>
        <v>2014</v>
      </c>
      <c r="AU146" s="166">
        <f t="shared" si="99"/>
        <v>0</v>
      </c>
      <c r="AV146" s="166">
        <v>100</v>
      </c>
      <c r="AW146" s="241">
        <f t="shared" si="100"/>
        <v>0</v>
      </c>
      <c r="AX146" s="166">
        <f t="shared" si="101"/>
        <v>0</v>
      </c>
      <c r="AY146" s="166">
        <f t="shared" si="102"/>
        <v>0</v>
      </c>
      <c r="AZ146" s="242">
        <f t="shared" si="103"/>
        <v>0</v>
      </c>
      <c r="BA146" s="234">
        <f t="shared" si="104"/>
        <v>0</v>
      </c>
      <c r="BB146" s="235">
        <f t="shared" si="105"/>
        <v>0</v>
      </c>
      <c r="BC146" s="235">
        <f t="shared" si="106"/>
        <v>1</v>
      </c>
      <c r="BD146" s="236">
        <f t="shared" si="107"/>
        <v>0</v>
      </c>
    </row>
    <row r="147" spans="1:56" s="163" customFormat="1" ht="16.25" customHeight="1">
      <c r="A147" s="163" t="s">
        <v>232</v>
      </c>
      <c r="B147" s="163" t="s">
        <v>235</v>
      </c>
      <c r="C147" s="164" t="s">
        <v>40</v>
      </c>
      <c r="D147" s="165">
        <v>1</v>
      </c>
      <c r="E147" s="177">
        <f>LDUtilityVehicle607CostYear</f>
        <v>2019</v>
      </c>
      <c r="F147" s="206">
        <f>D147*LDUtilityVehicle607UnitCost</f>
        <v>11368</v>
      </c>
      <c r="G147" s="168">
        <v>0</v>
      </c>
      <c r="H147" s="206">
        <f t="shared" si="90"/>
        <v>11765.88</v>
      </c>
      <c r="I147" s="166">
        <v>2010</v>
      </c>
      <c r="J147" s="166">
        <v>2</v>
      </c>
      <c r="K147" s="177">
        <f>LDUtilityVehicle607Life</f>
        <v>10</v>
      </c>
      <c r="L147" s="169"/>
      <c r="M147" s="168">
        <f t="shared" si="108"/>
        <v>0</v>
      </c>
      <c r="N147" s="168">
        <f t="shared" si="108"/>
        <v>0</v>
      </c>
      <c r="O147" s="168">
        <f t="shared" si="108"/>
        <v>12604</v>
      </c>
      <c r="P147" s="168">
        <f t="shared" si="108"/>
        <v>0</v>
      </c>
      <c r="Q147" s="168">
        <f t="shared" si="108"/>
        <v>0</v>
      </c>
      <c r="R147" s="168">
        <f t="shared" si="108"/>
        <v>0</v>
      </c>
      <c r="S147" s="168">
        <f t="shared" si="108"/>
        <v>0</v>
      </c>
      <c r="T147" s="168">
        <f t="shared" si="108"/>
        <v>0</v>
      </c>
      <c r="U147" s="168">
        <f t="shared" si="108"/>
        <v>0</v>
      </c>
      <c r="V147" s="168">
        <f t="shared" si="108"/>
        <v>0</v>
      </c>
      <c r="W147" s="168">
        <f t="shared" si="109"/>
        <v>0</v>
      </c>
      <c r="X147" s="168">
        <f t="shared" si="109"/>
        <v>0</v>
      </c>
      <c r="Y147" s="168">
        <f t="shared" si="109"/>
        <v>17779</v>
      </c>
      <c r="Z147" s="168">
        <f t="shared" si="109"/>
        <v>0</v>
      </c>
      <c r="AA147" s="168">
        <f t="shared" si="109"/>
        <v>0</v>
      </c>
      <c r="AB147" s="168">
        <f t="shared" si="109"/>
        <v>0</v>
      </c>
      <c r="AC147" s="168">
        <f t="shared" si="109"/>
        <v>0</v>
      </c>
      <c r="AD147" s="168">
        <f t="shared" si="109"/>
        <v>0</v>
      </c>
      <c r="AE147" s="168">
        <f t="shared" si="109"/>
        <v>0</v>
      </c>
      <c r="AF147" s="168">
        <f t="shared" si="109"/>
        <v>0</v>
      </c>
      <c r="AG147" s="168">
        <f t="shared" si="110"/>
        <v>0</v>
      </c>
      <c r="AH147" s="168">
        <f t="shared" si="110"/>
        <v>0</v>
      </c>
      <c r="AI147" s="168">
        <f t="shared" si="110"/>
        <v>25079</v>
      </c>
      <c r="AJ147" s="168">
        <f t="shared" si="110"/>
        <v>0</v>
      </c>
      <c r="AK147" s="168">
        <f t="shared" si="110"/>
        <v>0</v>
      </c>
      <c r="AL147" s="168">
        <f t="shared" si="110"/>
        <v>0</v>
      </c>
      <c r="AM147" s="168">
        <f t="shared" si="110"/>
        <v>0</v>
      </c>
      <c r="AN147" s="168">
        <f t="shared" si="110"/>
        <v>0</v>
      </c>
      <c r="AO147" s="168">
        <f t="shared" si="110"/>
        <v>0</v>
      </c>
      <c r="AP147" s="168">
        <f t="shared" si="110"/>
        <v>0</v>
      </c>
      <c r="AQ147" s="170"/>
      <c r="AR147" s="171">
        <f t="shared" si="97"/>
        <v>55462.000099999997</v>
      </c>
      <c r="AT147" s="166">
        <f t="shared" si="98"/>
        <v>2010</v>
      </c>
      <c r="AU147" s="166">
        <f t="shared" si="99"/>
        <v>2</v>
      </c>
      <c r="AV147" s="166">
        <v>100</v>
      </c>
      <c r="AW147" s="241">
        <f t="shared" si="100"/>
        <v>0</v>
      </c>
      <c r="AX147" s="166">
        <f t="shared" si="101"/>
        <v>0</v>
      </c>
      <c r="AY147" s="166">
        <f t="shared" si="102"/>
        <v>0</v>
      </c>
      <c r="AZ147" s="242">
        <f t="shared" si="103"/>
        <v>0</v>
      </c>
      <c r="BA147" s="234">
        <f t="shared" si="104"/>
        <v>0</v>
      </c>
      <c r="BB147" s="235">
        <f t="shared" si="105"/>
        <v>0</v>
      </c>
      <c r="BC147" s="235">
        <f t="shared" si="106"/>
        <v>1</v>
      </c>
      <c r="BD147" s="236">
        <f t="shared" si="107"/>
        <v>0</v>
      </c>
    </row>
    <row r="148" spans="1:56" s="163" customFormat="1" ht="16.25" customHeight="1">
      <c r="A148" s="163" t="s">
        <v>232</v>
      </c>
      <c r="B148" s="163" t="s">
        <v>235</v>
      </c>
      <c r="C148" s="187" t="s">
        <v>375</v>
      </c>
      <c r="D148" s="165">
        <v>1</v>
      </c>
      <c r="E148" s="177">
        <f>LDUtilityvehicle602costyear</f>
        <v>2019</v>
      </c>
      <c r="F148" s="206">
        <f>LDUtilityvehicle602unitcost*D148</f>
        <v>48000</v>
      </c>
      <c r="G148" s="168">
        <v>0</v>
      </c>
      <c r="H148" s="206">
        <f t="shared" si="90"/>
        <v>49679.999999999993</v>
      </c>
      <c r="I148" s="166">
        <v>2011</v>
      </c>
      <c r="J148" s="166">
        <v>-1</v>
      </c>
      <c r="K148" s="177">
        <f>LDutilityvehicle602life</f>
        <v>10</v>
      </c>
      <c r="L148" s="169"/>
      <c r="M148" s="168">
        <f t="shared" si="108"/>
        <v>49680</v>
      </c>
      <c r="N148" s="168">
        <f t="shared" si="108"/>
        <v>0</v>
      </c>
      <c r="O148" s="168">
        <f t="shared" si="108"/>
        <v>0</v>
      </c>
      <c r="P148" s="168">
        <f t="shared" si="108"/>
        <v>0</v>
      </c>
      <c r="Q148" s="168">
        <f t="shared" si="108"/>
        <v>0</v>
      </c>
      <c r="R148" s="168">
        <f t="shared" si="108"/>
        <v>0</v>
      </c>
      <c r="S148" s="168">
        <f t="shared" si="108"/>
        <v>0</v>
      </c>
      <c r="T148" s="168">
        <f t="shared" si="108"/>
        <v>0</v>
      </c>
      <c r="U148" s="168">
        <f t="shared" si="108"/>
        <v>0</v>
      </c>
      <c r="V148" s="168">
        <f t="shared" si="108"/>
        <v>0</v>
      </c>
      <c r="W148" s="168">
        <f t="shared" si="109"/>
        <v>70079</v>
      </c>
      <c r="X148" s="168">
        <f t="shared" si="109"/>
        <v>0</v>
      </c>
      <c r="Y148" s="168">
        <f t="shared" si="109"/>
        <v>0</v>
      </c>
      <c r="Z148" s="168">
        <f t="shared" si="109"/>
        <v>0</v>
      </c>
      <c r="AA148" s="168">
        <f t="shared" si="109"/>
        <v>0</v>
      </c>
      <c r="AB148" s="168">
        <f t="shared" si="109"/>
        <v>0</v>
      </c>
      <c r="AC148" s="168">
        <f t="shared" si="109"/>
        <v>0</v>
      </c>
      <c r="AD148" s="168">
        <f t="shared" si="109"/>
        <v>0</v>
      </c>
      <c r="AE148" s="168">
        <f t="shared" si="109"/>
        <v>0</v>
      </c>
      <c r="AF148" s="168">
        <f t="shared" si="109"/>
        <v>0</v>
      </c>
      <c r="AG148" s="168">
        <f t="shared" si="110"/>
        <v>98853</v>
      </c>
      <c r="AH148" s="168">
        <f t="shared" si="110"/>
        <v>0</v>
      </c>
      <c r="AI148" s="168">
        <f t="shared" si="110"/>
        <v>0</v>
      </c>
      <c r="AJ148" s="168">
        <f t="shared" si="110"/>
        <v>0</v>
      </c>
      <c r="AK148" s="168">
        <f t="shared" si="110"/>
        <v>0</v>
      </c>
      <c r="AL148" s="168">
        <f t="shared" si="110"/>
        <v>0</v>
      </c>
      <c r="AM148" s="168">
        <f t="shared" si="110"/>
        <v>0</v>
      </c>
      <c r="AN148" s="168">
        <f t="shared" si="110"/>
        <v>0</v>
      </c>
      <c r="AO148" s="168">
        <f t="shared" si="110"/>
        <v>0</v>
      </c>
      <c r="AP148" s="168">
        <f t="shared" si="110"/>
        <v>0</v>
      </c>
      <c r="AQ148" s="170"/>
      <c r="AR148" s="171">
        <f t="shared" si="97"/>
        <v>218612.0001</v>
      </c>
      <c r="AT148" s="166">
        <f t="shared" si="98"/>
        <v>2011</v>
      </c>
      <c r="AU148" s="166">
        <f t="shared" si="99"/>
        <v>-1</v>
      </c>
      <c r="AV148" s="166">
        <v>100</v>
      </c>
      <c r="AW148" s="241">
        <f t="shared" si="100"/>
        <v>0</v>
      </c>
      <c r="AX148" s="166">
        <f t="shared" si="101"/>
        <v>0</v>
      </c>
      <c r="AY148" s="166">
        <f t="shared" si="102"/>
        <v>0</v>
      </c>
      <c r="AZ148" s="242">
        <f t="shared" si="103"/>
        <v>0</v>
      </c>
      <c r="BA148" s="234">
        <f t="shared" si="104"/>
        <v>0</v>
      </c>
      <c r="BB148" s="235">
        <f t="shared" si="105"/>
        <v>0</v>
      </c>
      <c r="BC148" s="235">
        <f t="shared" si="106"/>
        <v>1</v>
      </c>
      <c r="BD148" s="236">
        <f t="shared" si="107"/>
        <v>0</v>
      </c>
    </row>
    <row r="149" spans="1:56" s="163" customFormat="1" ht="16.25" customHeight="1">
      <c r="A149" s="163" t="s">
        <v>232</v>
      </c>
      <c r="B149" s="163" t="s">
        <v>235</v>
      </c>
      <c r="C149" s="164" t="s">
        <v>34</v>
      </c>
      <c r="D149" s="165">
        <v>1</v>
      </c>
      <c r="E149" s="177">
        <f>mowerfairwaycostyear</f>
        <v>2019</v>
      </c>
      <c r="F149" s="206">
        <f>D149*mowerairwayunitcost</f>
        <v>62105</v>
      </c>
      <c r="G149" s="167"/>
      <c r="H149" s="206">
        <f t="shared" si="90"/>
        <v>64278.674999999996</v>
      </c>
      <c r="I149" s="166">
        <v>2017</v>
      </c>
      <c r="J149" s="166"/>
      <c r="K149" s="177">
        <f>Mowerfairwaylife</f>
        <v>14</v>
      </c>
      <c r="L149" s="169"/>
      <c r="M149" s="168">
        <f t="shared" ref="M149:V158" si="111">ROUND($H149*IF(AND(M$1&gt;=($I149+$J149),MOD(M$1-($I149+$J149),$K149)=0),(1+InflationRate)^(M$1-AnalysisYear),0),0)*IF(AND(M$1&gt;=($AT149+$AU149),(M$1-($AT149+$AU149))&lt;&gt;0,MOD(M$1-($AT149+$AU149),$AV149)=0),0,1)</f>
        <v>0</v>
      </c>
      <c r="N149" s="168">
        <f t="shared" si="111"/>
        <v>0</v>
      </c>
      <c r="O149" s="168">
        <f t="shared" si="111"/>
        <v>0</v>
      </c>
      <c r="P149" s="168">
        <f t="shared" si="111"/>
        <v>0</v>
      </c>
      <c r="Q149" s="168">
        <f t="shared" si="111"/>
        <v>0</v>
      </c>
      <c r="R149" s="168">
        <f t="shared" si="111"/>
        <v>0</v>
      </c>
      <c r="S149" s="168">
        <f t="shared" si="111"/>
        <v>0</v>
      </c>
      <c r="T149" s="168">
        <f t="shared" si="111"/>
        <v>0</v>
      </c>
      <c r="U149" s="168">
        <f t="shared" si="111"/>
        <v>0</v>
      </c>
      <c r="V149" s="168">
        <f t="shared" si="111"/>
        <v>0</v>
      </c>
      <c r="W149" s="168">
        <f t="shared" ref="W149:AF158" si="112">ROUND($H149*IF(AND(W$1&gt;=($I149+$J149),MOD(W$1-($I149+$J149),$K149)=0),(1+InflationRate)^(W$1-AnalysisYear),0),0)*IF(AND(W$1&gt;=($AT149+$AU149),(W$1-($AT149+$AU149))&lt;&gt;0,MOD(W$1-($AT149+$AU149),$AV149)=0),0,1)</f>
        <v>0</v>
      </c>
      <c r="X149" s="168">
        <f t="shared" si="112"/>
        <v>93845</v>
      </c>
      <c r="Y149" s="168">
        <f t="shared" si="112"/>
        <v>0</v>
      </c>
      <c r="Z149" s="168">
        <f t="shared" si="112"/>
        <v>0</v>
      </c>
      <c r="AA149" s="168">
        <f t="shared" si="112"/>
        <v>0</v>
      </c>
      <c r="AB149" s="168">
        <f t="shared" si="112"/>
        <v>0</v>
      </c>
      <c r="AC149" s="168">
        <f t="shared" si="112"/>
        <v>0</v>
      </c>
      <c r="AD149" s="168">
        <f t="shared" si="112"/>
        <v>0</v>
      </c>
      <c r="AE149" s="168">
        <f t="shared" si="112"/>
        <v>0</v>
      </c>
      <c r="AF149" s="168">
        <f t="shared" si="112"/>
        <v>0</v>
      </c>
      <c r="AG149" s="168">
        <f t="shared" ref="AG149:AP158" si="113">ROUND($H149*IF(AND(AG$1&gt;=($I149+$J149),MOD(AG$1-($I149+$J149),$K149)=0),(1+InflationRate)^(AG$1-AnalysisYear),0),0)*IF(AND(AG$1&gt;=($AT149+$AU149),(AG$1-($AT149+$AU149))&lt;&gt;0,MOD(AG$1-($AT149+$AU149),$AV149)=0),0,1)</f>
        <v>0</v>
      </c>
      <c r="AH149" s="168">
        <f t="shared" si="113"/>
        <v>0</v>
      </c>
      <c r="AI149" s="168">
        <f t="shared" si="113"/>
        <v>0</v>
      </c>
      <c r="AJ149" s="168">
        <f t="shared" si="113"/>
        <v>0</v>
      </c>
      <c r="AK149" s="168">
        <f t="shared" si="113"/>
        <v>0</v>
      </c>
      <c r="AL149" s="168">
        <f t="shared" si="113"/>
        <v>151906</v>
      </c>
      <c r="AM149" s="168">
        <f t="shared" si="113"/>
        <v>0</v>
      </c>
      <c r="AN149" s="168">
        <f t="shared" si="113"/>
        <v>0</v>
      </c>
      <c r="AO149" s="168">
        <f t="shared" si="113"/>
        <v>0</v>
      </c>
      <c r="AP149" s="168">
        <f t="shared" si="113"/>
        <v>0</v>
      </c>
      <c r="AQ149" s="170"/>
      <c r="AR149" s="171">
        <f t="shared" si="97"/>
        <v>245751.0001</v>
      </c>
      <c r="AT149" s="166">
        <f t="shared" si="98"/>
        <v>2017</v>
      </c>
      <c r="AU149" s="166">
        <f t="shared" si="99"/>
        <v>0</v>
      </c>
      <c r="AV149" s="166">
        <v>100</v>
      </c>
      <c r="AW149" s="241">
        <f t="shared" si="100"/>
        <v>0</v>
      </c>
      <c r="AX149" s="166">
        <f t="shared" si="101"/>
        <v>0</v>
      </c>
      <c r="AY149" s="166">
        <f t="shared" si="102"/>
        <v>0</v>
      </c>
      <c r="AZ149" s="242">
        <f t="shared" si="103"/>
        <v>0</v>
      </c>
      <c r="BA149" s="234">
        <f t="shared" si="104"/>
        <v>0</v>
      </c>
      <c r="BB149" s="235">
        <f t="shared" si="105"/>
        <v>0</v>
      </c>
      <c r="BC149" s="235">
        <f t="shared" si="106"/>
        <v>1</v>
      </c>
      <c r="BD149" s="236">
        <f t="shared" si="107"/>
        <v>0</v>
      </c>
    </row>
    <row r="150" spans="1:56" s="163" customFormat="1" ht="16.25" customHeight="1">
      <c r="A150" s="163" t="s">
        <v>232</v>
      </c>
      <c r="B150" s="163" t="s">
        <v>235</v>
      </c>
      <c r="C150" s="164" t="s">
        <v>33</v>
      </c>
      <c r="D150" s="165">
        <v>1</v>
      </c>
      <c r="E150" s="177">
        <f>Mowerroughcostyear</f>
        <v>2019</v>
      </c>
      <c r="F150" s="206">
        <f>D150*Mowerroughunitcost</f>
        <v>48755</v>
      </c>
      <c r="G150" s="168">
        <v>0</v>
      </c>
      <c r="H150" s="206">
        <f t="shared" si="90"/>
        <v>50461.424999999996</v>
      </c>
      <c r="I150" s="166">
        <v>2014</v>
      </c>
      <c r="J150" s="166">
        <v>0</v>
      </c>
      <c r="K150" s="177">
        <f>Mowerroughlife</f>
        <v>10</v>
      </c>
      <c r="L150" s="169"/>
      <c r="M150" s="168">
        <f t="shared" si="111"/>
        <v>0</v>
      </c>
      <c r="N150" s="168">
        <f t="shared" si="111"/>
        <v>0</v>
      </c>
      <c r="O150" s="168">
        <f t="shared" si="111"/>
        <v>0</v>
      </c>
      <c r="P150" s="168">
        <f t="shared" si="111"/>
        <v>0</v>
      </c>
      <c r="Q150" s="168">
        <f t="shared" si="111"/>
        <v>57906</v>
      </c>
      <c r="R150" s="168">
        <f t="shared" si="111"/>
        <v>0</v>
      </c>
      <c r="S150" s="168">
        <f t="shared" si="111"/>
        <v>0</v>
      </c>
      <c r="T150" s="168">
        <f t="shared" si="111"/>
        <v>0</v>
      </c>
      <c r="U150" s="168">
        <f t="shared" si="111"/>
        <v>0</v>
      </c>
      <c r="V150" s="168">
        <f t="shared" si="111"/>
        <v>0</v>
      </c>
      <c r="W150" s="168">
        <f t="shared" si="112"/>
        <v>0</v>
      </c>
      <c r="X150" s="168">
        <f t="shared" si="112"/>
        <v>0</v>
      </c>
      <c r="Y150" s="168">
        <f t="shared" si="112"/>
        <v>0</v>
      </c>
      <c r="Z150" s="168">
        <f t="shared" si="112"/>
        <v>0</v>
      </c>
      <c r="AA150" s="168">
        <f t="shared" si="112"/>
        <v>81682</v>
      </c>
      <c r="AB150" s="168">
        <f t="shared" si="112"/>
        <v>0</v>
      </c>
      <c r="AC150" s="168">
        <f t="shared" si="112"/>
        <v>0</v>
      </c>
      <c r="AD150" s="168">
        <f t="shared" si="112"/>
        <v>0</v>
      </c>
      <c r="AE150" s="168">
        <f t="shared" si="112"/>
        <v>0</v>
      </c>
      <c r="AF150" s="168">
        <f t="shared" si="112"/>
        <v>0</v>
      </c>
      <c r="AG150" s="168">
        <f t="shared" si="113"/>
        <v>0</v>
      </c>
      <c r="AH150" s="168">
        <f t="shared" si="113"/>
        <v>0</v>
      </c>
      <c r="AI150" s="168">
        <f t="shared" si="113"/>
        <v>0</v>
      </c>
      <c r="AJ150" s="168">
        <f t="shared" si="113"/>
        <v>0</v>
      </c>
      <c r="AK150" s="168">
        <f t="shared" si="113"/>
        <v>115220</v>
      </c>
      <c r="AL150" s="168">
        <f t="shared" si="113"/>
        <v>0</v>
      </c>
      <c r="AM150" s="168">
        <f t="shared" si="113"/>
        <v>0</v>
      </c>
      <c r="AN150" s="168">
        <f t="shared" si="113"/>
        <v>0</v>
      </c>
      <c r="AO150" s="168">
        <f t="shared" si="113"/>
        <v>0</v>
      </c>
      <c r="AP150" s="168">
        <f t="shared" si="113"/>
        <v>0</v>
      </c>
      <c r="AQ150" s="170"/>
      <c r="AR150" s="171">
        <f t="shared" si="97"/>
        <v>254808.0001</v>
      </c>
      <c r="AT150" s="166">
        <f t="shared" si="98"/>
        <v>2014</v>
      </c>
      <c r="AU150" s="166">
        <f t="shared" si="99"/>
        <v>0</v>
      </c>
      <c r="AV150" s="166">
        <v>100</v>
      </c>
      <c r="AW150" s="241">
        <f t="shared" si="100"/>
        <v>0</v>
      </c>
      <c r="AX150" s="166">
        <f t="shared" si="101"/>
        <v>0</v>
      </c>
      <c r="AY150" s="166">
        <f t="shared" si="102"/>
        <v>0</v>
      </c>
      <c r="AZ150" s="242">
        <f t="shared" si="103"/>
        <v>0</v>
      </c>
      <c r="BA150" s="234">
        <f t="shared" si="104"/>
        <v>0</v>
      </c>
      <c r="BB150" s="235">
        <f t="shared" si="105"/>
        <v>0</v>
      </c>
      <c r="BC150" s="235">
        <f t="shared" si="106"/>
        <v>1</v>
      </c>
      <c r="BD150" s="236">
        <f t="shared" si="107"/>
        <v>0</v>
      </c>
    </row>
    <row r="151" spans="1:56" s="163" customFormat="1" ht="16.25" customHeight="1">
      <c r="A151" s="163" t="s">
        <v>232</v>
      </c>
      <c r="B151" s="163" t="s">
        <v>235</v>
      </c>
      <c r="C151" s="164" t="s">
        <v>31</v>
      </c>
      <c r="D151" s="165">
        <v>1</v>
      </c>
      <c r="E151" s="177">
        <f>Mowertriplexcostyear</f>
        <v>2019</v>
      </c>
      <c r="F151" s="206">
        <f>D151*Mowertriplexunitcost</f>
        <v>39172</v>
      </c>
      <c r="G151" s="168">
        <v>0</v>
      </c>
      <c r="H151" s="206">
        <f t="shared" si="90"/>
        <v>40543.019999999997</v>
      </c>
      <c r="I151" s="166">
        <v>2010</v>
      </c>
      <c r="J151" s="166">
        <v>0</v>
      </c>
      <c r="K151" s="177">
        <f>Mowertriplexlife</f>
        <v>20</v>
      </c>
      <c r="L151" s="169"/>
      <c r="M151" s="168">
        <f t="shared" si="111"/>
        <v>0</v>
      </c>
      <c r="N151" s="168">
        <f t="shared" si="111"/>
        <v>0</v>
      </c>
      <c r="O151" s="168">
        <f t="shared" si="111"/>
        <v>0</v>
      </c>
      <c r="P151" s="168">
        <f t="shared" si="111"/>
        <v>0</v>
      </c>
      <c r="Q151" s="168">
        <f t="shared" si="111"/>
        <v>0</v>
      </c>
      <c r="R151" s="168">
        <f t="shared" si="111"/>
        <v>0</v>
      </c>
      <c r="S151" s="168">
        <f t="shared" si="111"/>
        <v>0</v>
      </c>
      <c r="T151" s="168">
        <f t="shared" si="111"/>
        <v>0</v>
      </c>
      <c r="U151" s="168">
        <f t="shared" si="111"/>
        <v>0</v>
      </c>
      <c r="V151" s="168">
        <f t="shared" si="111"/>
        <v>0</v>
      </c>
      <c r="W151" s="168">
        <f t="shared" si="112"/>
        <v>57190</v>
      </c>
      <c r="X151" s="168">
        <f t="shared" si="112"/>
        <v>0</v>
      </c>
      <c r="Y151" s="168">
        <f t="shared" si="112"/>
        <v>0</v>
      </c>
      <c r="Z151" s="168">
        <f t="shared" si="112"/>
        <v>0</v>
      </c>
      <c r="AA151" s="168">
        <f t="shared" si="112"/>
        <v>0</v>
      </c>
      <c r="AB151" s="168">
        <f t="shared" si="112"/>
        <v>0</v>
      </c>
      <c r="AC151" s="168">
        <f t="shared" si="112"/>
        <v>0</v>
      </c>
      <c r="AD151" s="168">
        <f t="shared" si="112"/>
        <v>0</v>
      </c>
      <c r="AE151" s="168">
        <f t="shared" si="112"/>
        <v>0</v>
      </c>
      <c r="AF151" s="168">
        <f t="shared" si="112"/>
        <v>0</v>
      </c>
      <c r="AG151" s="168">
        <f t="shared" si="113"/>
        <v>0</v>
      </c>
      <c r="AH151" s="168">
        <f t="shared" si="113"/>
        <v>0</v>
      </c>
      <c r="AI151" s="168">
        <f t="shared" si="113"/>
        <v>0</v>
      </c>
      <c r="AJ151" s="168">
        <f t="shared" si="113"/>
        <v>0</v>
      </c>
      <c r="AK151" s="168">
        <f t="shared" si="113"/>
        <v>0</v>
      </c>
      <c r="AL151" s="168">
        <f t="shared" si="113"/>
        <v>0</v>
      </c>
      <c r="AM151" s="168">
        <f t="shared" si="113"/>
        <v>0</v>
      </c>
      <c r="AN151" s="168">
        <f t="shared" si="113"/>
        <v>0</v>
      </c>
      <c r="AO151" s="168">
        <f t="shared" si="113"/>
        <v>0</v>
      </c>
      <c r="AP151" s="168">
        <f t="shared" si="113"/>
        <v>0</v>
      </c>
      <c r="AQ151" s="170"/>
      <c r="AR151" s="171">
        <f t="shared" si="97"/>
        <v>57190.000099999997</v>
      </c>
      <c r="AT151" s="166">
        <f t="shared" si="98"/>
        <v>2010</v>
      </c>
      <c r="AU151" s="166">
        <f t="shared" si="99"/>
        <v>0</v>
      </c>
      <c r="AV151" s="166">
        <v>100</v>
      </c>
      <c r="AW151" s="241">
        <f t="shared" si="100"/>
        <v>0</v>
      </c>
      <c r="AX151" s="166">
        <f t="shared" si="101"/>
        <v>0</v>
      </c>
      <c r="AY151" s="166">
        <f t="shared" si="102"/>
        <v>0</v>
      </c>
      <c r="AZ151" s="242">
        <f t="shared" si="103"/>
        <v>0</v>
      </c>
      <c r="BA151" s="234">
        <f t="shared" si="104"/>
        <v>0</v>
      </c>
      <c r="BB151" s="235">
        <f t="shared" si="105"/>
        <v>0</v>
      </c>
      <c r="BC151" s="235">
        <f t="shared" si="106"/>
        <v>1</v>
      </c>
      <c r="BD151" s="236">
        <f t="shared" si="107"/>
        <v>0</v>
      </c>
    </row>
    <row r="152" spans="1:56" s="163" customFormat="1" ht="16.25" customHeight="1">
      <c r="A152" s="163" t="s">
        <v>232</v>
      </c>
      <c r="B152" s="163" t="s">
        <v>235</v>
      </c>
      <c r="C152" s="164" t="s">
        <v>403</v>
      </c>
      <c r="D152" s="165">
        <v>1</v>
      </c>
      <c r="E152" s="177">
        <f>Mowertriplexcostyear</f>
        <v>2019</v>
      </c>
      <c r="F152" s="206">
        <f>D152*Mowertriplexunitcost</f>
        <v>39172</v>
      </c>
      <c r="G152" s="168">
        <v>0</v>
      </c>
      <c r="H152" s="206">
        <f t="shared" si="90"/>
        <v>40543.019999999997</v>
      </c>
      <c r="I152" s="166">
        <v>2016</v>
      </c>
      <c r="J152" s="166">
        <v>0</v>
      </c>
      <c r="K152" s="177">
        <f>Mowertriplexlife</f>
        <v>20</v>
      </c>
      <c r="L152" s="169"/>
      <c r="M152" s="168">
        <f t="shared" si="111"/>
        <v>0</v>
      </c>
      <c r="N152" s="168">
        <f t="shared" si="111"/>
        <v>0</v>
      </c>
      <c r="O152" s="168">
        <f t="shared" si="111"/>
        <v>0</v>
      </c>
      <c r="P152" s="168">
        <f t="shared" si="111"/>
        <v>0</v>
      </c>
      <c r="Q152" s="168">
        <f t="shared" si="111"/>
        <v>0</v>
      </c>
      <c r="R152" s="168">
        <f t="shared" si="111"/>
        <v>0</v>
      </c>
      <c r="S152" s="168">
        <f t="shared" si="111"/>
        <v>0</v>
      </c>
      <c r="T152" s="168">
        <f t="shared" si="111"/>
        <v>0</v>
      </c>
      <c r="U152" s="168">
        <f t="shared" si="111"/>
        <v>0</v>
      </c>
      <c r="V152" s="168">
        <f t="shared" si="111"/>
        <v>0</v>
      </c>
      <c r="W152" s="168">
        <f t="shared" si="112"/>
        <v>0</v>
      </c>
      <c r="X152" s="168">
        <f t="shared" si="112"/>
        <v>0</v>
      </c>
      <c r="Y152" s="168">
        <f t="shared" si="112"/>
        <v>0</v>
      </c>
      <c r="Z152" s="168">
        <f t="shared" si="112"/>
        <v>0</v>
      </c>
      <c r="AA152" s="168">
        <f t="shared" si="112"/>
        <v>0</v>
      </c>
      <c r="AB152" s="168">
        <f t="shared" si="112"/>
        <v>0</v>
      </c>
      <c r="AC152" s="168">
        <f t="shared" si="112"/>
        <v>70301</v>
      </c>
      <c r="AD152" s="168">
        <f t="shared" si="112"/>
        <v>0</v>
      </c>
      <c r="AE152" s="168">
        <f t="shared" si="112"/>
        <v>0</v>
      </c>
      <c r="AF152" s="168">
        <f t="shared" si="112"/>
        <v>0</v>
      </c>
      <c r="AG152" s="168">
        <f t="shared" si="113"/>
        <v>0</v>
      </c>
      <c r="AH152" s="168">
        <f t="shared" si="113"/>
        <v>0</v>
      </c>
      <c r="AI152" s="168">
        <f t="shared" si="113"/>
        <v>0</v>
      </c>
      <c r="AJ152" s="168">
        <f t="shared" si="113"/>
        <v>0</v>
      </c>
      <c r="AK152" s="168">
        <f t="shared" si="113"/>
        <v>0</v>
      </c>
      <c r="AL152" s="168">
        <f t="shared" si="113"/>
        <v>0</v>
      </c>
      <c r="AM152" s="168">
        <f t="shared" si="113"/>
        <v>0</v>
      </c>
      <c r="AN152" s="168">
        <f t="shared" si="113"/>
        <v>0</v>
      </c>
      <c r="AO152" s="168">
        <f t="shared" si="113"/>
        <v>0</v>
      </c>
      <c r="AP152" s="168">
        <f t="shared" si="113"/>
        <v>0</v>
      </c>
      <c r="AQ152" s="170"/>
      <c r="AR152" s="171">
        <f t="shared" si="97"/>
        <v>70301.000100000005</v>
      </c>
      <c r="AT152" s="166">
        <f t="shared" si="98"/>
        <v>2016</v>
      </c>
      <c r="AU152" s="166">
        <f t="shared" si="99"/>
        <v>0</v>
      </c>
      <c r="AV152" s="166">
        <v>100</v>
      </c>
      <c r="AW152" s="241">
        <f t="shared" si="100"/>
        <v>0</v>
      </c>
      <c r="AX152" s="166">
        <f t="shared" si="101"/>
        <v>0</v>
      </c>
      <c r="AY152" s="166">
        <f t="shared" si="102"/>
        <v>0</v>
      </c>
      <c r="AZ152" s="242">
        <f t="shared" si="103"/>
        <v>0</v>
      </c>
      <c r="BA152" s="234">
        <f t="shared" si="104"/>
        <v>0</v>
      </c>
      <c r="BB152" s="235">
        <f t="shared" si="105"/>
        <v>0</v>
      </c>
      <c r="BC152" s="235">
        <f t="shared" si="106"/>
        <v>1</v>
      </c>
      <c r="BD152" s="236">
        <f t="shared" si="107"/>
        <v>0</v>
      </c>
    </row>
    <row r="153" spans="1:56" s="163" customFormat="1" ht="16.25" customHeight="1">
      <c r="A153" s="163" t="s">
        <v>232</v>
      </c>
      <c r="B153" s="163" t="s">
        <v>235</v>
      </c>
      <c r="C153" s="164" t="s">
        <v>32</v>
      </c>
      <c r="D153" s="165">
        <v>1</v>
      </c>
      <c r="E153" s="177">
        <f>Mowertriplexcostyear</f>
        <v>2019</v>
      </c>
      <c r="F153" s="206">
        <f>D153*Mowertriplexunitcost</f>
        <v>39172</v>
      </c>
      <c r="G153" s="168">
        <v>0</v>
      </c>
      <c r="H153" s="206">
        <f t="shared" si="90"/>
        <v>40543.019999999997</v>
      </c>
      <c r="I153" s="166">
        <v>2016</v>
      </c>
      <c r="J153" s="166">
        <v>0</v>
      </c>
      <c r="K153" s="177">
        <f>Mowertriplexlife</f>
        <v>20</v>
      </c>
      <c r="L153" s="169"/>
      <c r="M153" s="168">
        <f t="shared" si="111"/>
        <v>0</v>
      </c>
      <c r="N153" s="168">
        <f t="shared" si="111"/>
        <v>0</v>
      </c>
      <c r="O153" s="168">
        <f t="shared" si="111"/>
        <v>0</v>
      </c>
      <c r="P153" s="168">
        <f t="shared" si="111"/>
        <v>0</v>
      </c>
      <c r="Q153" s="168">
        <f t="shared" si="111"/>
        <v>0</v>
      </c>
      <c r="R153" s="168">
        <f t="shared" si="111"/>
        <v>0</v>
      </c>
      <c r="S153" s="168">
        <f t="shared" si="111"/>
        <v>0</v>
      </c>
      <c r="T153" s="168">
        <f t="shared" si="111"/>
        <v>0</v>
      </c>
      <c r="U153" s="168">
        <f t="shared" si="111"/>
        <v>0</v>
      </c>
      <c r="V153" s="168">
        <f t="shared" si="111"/>
        <v>0</v>
      </c>
      <c r="W153" s="168">
        <f t="shared" si="112"/>
        <v>0</v>
      </c>
      <c r="X153" s="168">
        <f t="shared" si="112"/>
        <v>0</v>
      </c>
      <c r="Y153" s="168">
        <f t="shared" si="112"/>
        <v>0</v>
      </c>
      <c r="Z153" s="168">
        <f t="shared" si="112"/>
        <v>0</v>
      </c>
      <c r="AA153" s="168">
        <f t="shared" si="112"/>
        <v>0</v>
      </c>
      <c r="AB153" s="168">
        <f t="shared" si="112"/>
        <v>0</v>
      </c>
      <c r="AC153" s="168">
        <f t="shared" si="112"/>
        <v>70301</v>
      </c>
      <c r="AD153" s="168">
        <f t="shared" si="112"/>
        <v>0</v>
      </c>
      <c r="AE153" s="168">
        <f t="shared" si="112"/>
        <v>0</v>
      </c>
      <c r="AF153" s="168">
        <f t="shared" si="112"/>
        <v>0</v>
      </c>
      <c r="AG153" s="168">
        <f t="shared" si="113"/>
        <v>0</v>
      </c>
      <c r="AH153" s="168">
        <f t="shared" si="113"/>
        <v>0</v>
      </c>
      <c r="AI153" s="168">
        <f t="shared" si="113"/>
        <v>0</v>
      </c>
      <c r="AJ153" s="168">
        <f t="shared" si="113"/>
        <v>0</v>
      </c>
      <c r="AK153" s="168">
        <f t="shared" si="113"/>
        <v>0</v>
      </c>
      <c r="AL153" s="168">
        <f t="shared" si="113"/>
        <v>0</v>
      </c>
      <c r="AM153" s="168">
        <f t="shared" si="113"/>
        <v>0</v>
      </c>
      <c r="AN153" s="168">
        <f t="shared" si="113"/>
        <v>0</v>
      </c>
      <c r="AO153" s="168">
        <f t="shared" si="113"/>
        <v>0</v>
      </c>
      <c r="AP153" s="168">
        <f t="shared" si="113"/>
        <v>0</v>
      </c>
      <c r="AQ153" s="170"/>
      <c r="AR153" s="171">
        <f t="shared" si="97"/>
        <v>70301.000100000005</v>
      </c>
      <c r="AT153" s="166">
        <f t="shared" si="98"/>
        <v>2016</v>
      </c>
      <c r="AU153" s="166">
        <f t="shared" si="99"/>
        <v>0</v>
      </c>
      <c r="AV153" s="166">
        <v>100</v>
      </c>
      <c r="AW153" s="241">
        <f t="shared" si="100"/>
        <v>0</v>
      </c>
      <c r="AX153" s="166">
        <f t="shared" si="101"/>
        <v>0</v>
      </c>
      <c r="AY153" s="166">
        <f t="shared" si="102"/>
        <v>0</v>
      </c>
      <c r="AZ153" s="242">
        <f t="shared" si="103"/>
        <v>0</v>
      </c>
      <c r="BA153" s="234">
        <f t="shared" si="104"/>
        <v>0</v>
      </c>
      <c r="BB153" s="235">
        <f t="shared" si="105"/>
        <v>0</v>
      </c>
      <c r="BC153" s="235">
        <f t="shared" si="106"/>
        <v>1</v>
      </c>
      <c r="BD153" s="236">
        <f t="shared" si="107"/>
        <v>0</v>
      </c>
    </row>
    <row r="154" spans="1:56" s="163" customFormat="1" ht="16.25" customHeight="1">
      <c r="A154" s="163" t="s">
        <v>232</v>
      </c>
      <c r="B154" s="163" t="s">
        <v>235</v>
      </c>
      <c r="C154" s="164" t="s">
        <v>35</v>
      </c>
      <c r="D154" s="165">
        <v>1</v>
      </c>
      <c r="E154" s="177">
        <f>Bunkerrakecostyear</f>
        <v>2013</v>
      </c>
      <c r="F154" s="206">
        <f>D154*Bunkerrakeunitcost</f>
        <v>20696</v>
      </c>
      <c r="G154" s="168">
        <v>0</v>
      </c>
      <c r="H154" s="206">
        <f t="shared" si="90"/>
        <v>26331.091622216998</v>
      </c>
      <c r="I154" s="166">
        <v>2013</v>
      </c>
      <c r="J154" s="166">
        <v>0</v>
      </c>
      <c r="K154" s="177">
        <f>Bunkerrakelife</f>
        <v>13</v>
      </c>
      <c r="L154" s="169"/>
      <c r="M154" s="168">
        <f t="shared" si="111"/>
        <v>0</v>
      </c>
      <c r="N154" s="168">
        <f t="shared" si="111"/>
        <v>0</v>
      </c>
      <c r="O154" s="168">
        <f t="shared" si="111"/>
        <v>0</v>
      </c>
      <c r="P154" s="168">
        <f t="shared" si="111"/>
        <v>0</v>
      </c>
      <c r="Q154" s="168">
        <f t="shared" si="111"/>
        <v>0</v>
      </c>
      <c r="R154" s="168">
        <f t="shared" si="111"/>
        <v>0</v>
      </c>
      <c r="S154" s="168">
        <f t="shared" si="111"/>
        <v>32368</v>
      </c>
      <c r="T154" s="168">
        <f t="shared" si="111"/>
        <v>0</v>
      </c>
      <c r="U154" s="168">
        <f t="shared" si="111"/>
        <v>0</v>
      </c>
      <c r="V154" s="168">
        <f t="shared" si="111"/>
        <v>0</v>
      </c>
      <c r="W154" s="168">
        <f t="shared" si="112"/>
        <v>0</v>
      </c>
      <c r="X154" s="168">
        <f t="shared" si="112"/>
        <v>0</v>
      </c>
      <c r="Y154" s="168">
        <f t="shared" si="112"/>
        <v>0</v>
      </c>
      <c r="Z154" s="168">
        <f t="shared" si="112"/>
        <v>0</v>
      </c>
      <c r="AA154" s="168">
        <f t="shared" si="112"/>
        <v>0</v>
      </c>
      <c r="AB154" s="168">
        <f t="shared" si="112"/>
        <v>0</v>
      </c>
      <c r="AC154" s="168">
        <f t="shared" si="112"/>
        <v>0</v>
      </c>
      <c r="AD154" s="168">
        <f t="shared" si="112"/>
        <v>0</v>
      </c>
      <c r="AE154" s="168">
        <f t="shared" si="112"/>
        <v>0</v>
      </c>
      <c r="AF154" s="168">
        <f t="shared" si="112"/>
        <v>50622</v>
      </c>
      <c r="AG154" s="168">
        <f t="shared" si="113"/>
        <v>0</v>
      </c>
      <c r="AH154" s="168">
        <f t="shared" si="113"/>
        <v>0</v>
      </c>
      <c r="AI154" s="168">
        <f t="shared" si="113"/>
        <v>0</v>
      </c>
      <c r="AJ154" s="168">
        <f t="shared" si="113"/>
        <v>0</v>
      </c>
      <c r="AK154" s="168">
        <f t="shared" si="113"/>
        <v>0</v>
      </c>
      <c r="AL154" s="168">
        <f t="shared" si="113"/>
        <v>0</v>
      </c>
      <c r="AM154" s="168">
        <f t="shared" si="113"/>
        <v>0</v>
      </c>
      <c r="AN154" s="168">
        <f t="shared" si="113"/>
        <v>0</v>
      </c>
      <c r="AO154" s="168">
        <f t="shared" si="113"/>
        <v>0</v>
      </c>
      <c r="AP154" s="168">
        <f t="shared" si="113"/>
        <v>0</v>
      </c>
      <c r="AQ154" s="170"/>
      <c r="AR154" s="171">
        <f t="shared" si="97"/>
        <v>82990.000100000005</v>
      </c>
      <c r="AT154" s="166">
        <f t="shared" si="98"/>
        <v>2013</v>
      </c>
      <c r="AU154" s="166">
        <f t="shared" si="99"/>
        <v>0</v>
      </c>
      <c r="AV154" s="166">
        <v>100</v>
      </c>
      <c r="AW154" s="241">
        <f t="shared" si="100"/>
        <v>0</v>
      </c>
      <c r="AX154" s="166">
        <f t="shared" si="101"/>
        <v>0</v>
      </c>
      <c r="AY154" s="166">
        <f t="shared" si="102"/>
        <v>0</v>
      </c>
      <c r="AZ154" s="242">
        <f t="shared" si="103"/>
        <v>0</v>
      </c>
      <c r="BA154" s="234">
        <f t="shared" si="104"/>
        <v>0</v>
      </c>
      <c r="BB154" s="235">
        <f t="shared" si="105"/>
        <v>0</v>
      </c>
      <c r="BC154" s="235">
        <f t="shared" si="106"/>
        <v>1</v>
      </c>
      <c r="BD154" s="236">
        <f t="shared" si="107"/>
        <v>0</v>
      </c>
    </row>
    <row r="155" spans="1:56" s="163" customFormat="1" ht="16.25" customHeight="1">
      <c r="A155" s="163" t="s">
        <v>232</v>
      </c>
      <c r="B155" s="163" t="s">
        <v>235</v>
      </c>
      <c r="C155" s="164" t="s">
        <v>62</v>
      </c>
      <c r="D155" s="165">
        <v>1</v>
      </c>
      <c r="E155" s="177">
        <f>SkidSteerCOstYear</f>
        <v>2015</v>
      </c>
      <c r="F155" s="206">
        <f>D155*SkidSteerUnitCost</f>
        <v>48327</v>
      </c>
      <c r="G155" s="168">
        <v>0</v>
      </c>
      <c r="H155" s="206">
        <f t="shared" si="90"/>
        <v>57397.316092996502</v>
      </c>
      <c r="I155" s="166">
        <v>2015</v>
      </c>
      <c r="J155" s="166">
        <v>0</v>
      </c>
      <c r="K155" s="177">
        <f>SkidSteerLife</f>
        <v>20</v>
      </c>
      <c r="L155" s="169"/>
      <c r="M155" s="168">
        <f t="shared" si="111"/>
        <v>0</v>
      </c>
      <c r="N155" s="168">
        <f t="shared" si="111"/>
        <v>0</v>
      </c>
      <c r="O155" s="168">
        <f t="shared" si="111"/>
        <v>0</v>
      </c>
      <c r="P155" s="168">
        <f t="shared" si="111"/>
        <v>0</v>
      </c>
      <c r="Q155" s="168">
        <f t="shared" si="111"/>
        <v>0</v>
      </c>
      <c r="R155" s="168">
        <f t="shared" si="111"/>
        <v>0</v>
      </c>
      <c r="S155" s="168">
        <f t="shared" si="111"/>
        <v>0</v>
      </c>
      <c r="T155" s="168">
        <f t="shared" si="111"/>
        <v>0</v>
      </c>
      <c r="U155" s="168">
        <f t="shared" si="111"/>
        <v>0</v>
      </c>
      <c r="V155" s="168">
        <f t="shared" si="111"/>
        <v>0</v>
      </c>
      <c r="W155" s="168">
        <f t="shared" si="112"/>
        <v>0</v>
      </c>
      <c r="X155" s="168">
        <f t="shared" si="112"/>
        <v>0</v>
      </c>
      <c r="Y155" s="168">
        <f t="shared" si="112"/>
        <v>0</v>
      </c>
      <c r="Z155" s="168">
        <f t="shared" si="112"/>
        <v>0</v>
      </c>
      <c r="AA155" s="168">
        <f t="shared" si="112"/>
        <v>0</v>
      </c>
      <c r="AB155" s="168">
        <f t="shared" si="112"/>
        <v>96161</v>
      </c>
      <c r="AC155" s="168">
        <f t="shared" si="112"/>
        <v>0</v>
      </c>
      <c r="AD155" s="168">
        <f t="shared" si="112"/>
        <v>0</v>
      </c>
      <c r="AE155" s="168">
        <f t="shared" si="112"/>
        <v>0</v>
      </c>
      <c r="AF155" s="168">
        <f t="shared" si="112"/>
        <v>0</v>
      </c>
      <c r="AG155" s="168">
        <f t="shared" si="113"/>
        <v>0</v>
      </c>
      <c r="AH155" s="168">
        <f t="shared" si="113"/>
        <v>0</v>
      </c>
      <c r="AI155" s="168">
        <f t="shared" si="113"/>
        <v>0</v>
      </c>
      <c r="AJ155" s="168">
        <f t="shared" si="113"/>
        <v>0</v>
      </c>
      <c r="AK155" s="168">
        <f t="shared" si="113"/>
        <v>0</v>
      </c>
      <c r="AL155" s="168">
        <f t="shared" si="113"/>
        <v>0</v>
      </c>
      <c r="AM155" s="168">
        <f t="shared" si="113"/>
        <v>0</v>
      </c>
      <c r="AN155" s="168">
        <f t="shared" si="113"/>
        <v>0</v>
      </c>
      <c r="AO155" s="168">
        <f t="shared" si="113"/>
        <v>0</v>
      </c>
      <c r="AP155" s="168">
        <f t="shared" si="113"/>
        <v>0</v>
      </c>
      <c r="AQ155" s="170"/>
      <c r="AR155" s="171">
        <f t="shared" si="97"/>
        <v>96161.000100000005</v>
      </c>
      <c r="AT155" s="166">
        <f t="shared" si="98"/>
        <v>2015</v>
      </c>
      <c r="AU155" s="166">
        <f t="shared" si="99"/>
        <v>0</v>
      </c>
      <c r="AV155" s="166">
        <v>100</v>
      </c>
      <c r="AW155" s="241">
        <f t="shared" si="100"/>
        <v>0</v>
      </c>
      <c r="AX155" s="166">
        <f t="shared" si="101"/>
        <v>0</v>
      </c>
      <c r="AY155" s="166">
        <f t="shared" si="102"/>
        <v>0</v>
      </c>
      <c r="AZ155" s="242">
        <f t="shared" si="103"/>
        <v>0</v>
      </c>
      <c r="BA155" s="234">
        <f t="shared" si="104"/>
        <v>0</v>
      </c>
      <c r="BB155" s="235">
        <f t="shared" si="105"/>
        <v>0</v>
      </c>
      <c r="BC155" s="235">
        <f t="shared" si="106"/>
        <v>1</v>
      </c>
      <c r="BD155" s="236">
        <f t="shared" si="107"/>
        <v>0</v>
      </c>
    </row>
    <row r="156" spans="1:56" s="163" customFormat="1" ht="16.25" customHeight="1">
      <c r="A156" s="163" t="s">
        <v>232</v>
      </c>
      <c r="B156" s="163" t="s">
        <v>235</v>
      </c>
      <c r="C156" s="164" t="s">
        <v>70</v>
      </c>
      <c r="D156" s="165">
        <v>1</v>
      </c>
      <c r="E156" s="177">
        <f>Sparegreensreelscostyear</f>
        <v>2016</v>
      </c>
      <c r="F156" s="206">
        <f>D156*Sparegreensreelsunitcost</f>
        <v>9291</v>
      </c>
      <c r="G156" s="168">
        <v>0</v>
      </c>
      <c r="H156" s="206">
        <f t="shared" si="90"/>
        <v>10661.636198806871</v>
      </c>
      <c r="I156" s="166">
        <v>2016</v>
      </c>
      <c r="J156" s="166">
        <v>0</v>
      </c>
      <c r="K156" s="177">
        <f>Sparegreensreelslife</f>
        <v>10</v>
      </c>
      <c r="L156" s="169"/>
      <c r="M156" s="168">
        <f t="shared" si="111"/>
        <v>0</v>
      </c>
      <c r="N156" s="168">
        <f t="shared" si="111"/>
        <v>0</v>
      </c>
      <c r="O156" s="168">
        <f t="shared" si="111"/>
        <v>0</v>
      </c>
      <c r="P156" s="168">
        <f t="shared" si="111"/>
        <v>0</v>
      </c>
      <c r="Q156" s="168">
        <f t="shared" si="111"/>
        <v>0</v>
      </c>
      <c r="R156" s="168">
        <f t="shared" si="111"/>
        <v>0</v>
      </c>
      <c r="S156" s="168">
        <f t="shared" si="111"/>
        <v>13106</v>
      </c>
      <c r="T156" s="168">
        <f t="shared" si="111"/>
        <v>0</v>
      </c>
      <c r="U156" s="168">
        <f t="shared" si="111"/>
        <v>0</v>
      </c>
      <c r="V156" s="168">
        <f t="shared" si="111"/>
        <v>0</v>
      </c>
      <c r="W156" s="168">
        <f t="shared" si="112"/>
        <v>0</v>
      </c>
      <c r="X156" s="168">
        <f t="shared" si="112"/>
        <v>0</v>
      </c>
      <c r="Y156" s="168">
        <f t="shared" si="112"/>
        <v>0</v>
      </c>
      <c r="Z156" s="168">
        <f t="shared" si="112"/>
        <v>0</v>
      </c>
      <c r="AA156" s="168">
        <f t="shared" si="112"/>
        <v>0</v>
      </c>
      <c r="AB156" s="168">
        <f t="shared" si="112"/>
        <v>0</v>
      </c>
      <c r="AC156" s="168">
        <f t="shared" si="112"/>
        <v>18487</v>
      </c>
      <c r="AD156" s="168">
        <f t="shared" si="112"/>
        <v>0</v>
      </c>
      <c r="AE156" s="168">
        <f t="shared" si="112"/>
        <v>0</v>
      </c>
      <c r="AF156" s="168">
        <f t="shared" si="112"/>
        <v>0</v>
      </c>
      <c r="AG156" s="168">
        <f t="shared" si="113"/>
        <v>0</v>
      </c>
      <c r="AH156" s="168">
        <f t="shared" si="113"/>
        <v>0</v>
      </c>
      <c r="AI156" s="168">
        <f t="shared" si="113"/>
        <v>0</v>
      </c>
      <c r="AJ156" s="168">
        <f t="shared" si="113"/>
        <v>0</v>
      </c>
      <c r="AK156" s="168">
        <f t="shared" si="113"/>
        <v>0</v>
      </c>
      <c r="AL156" s="168">
        <f t="shared" si="113"/>
        <v>0</v>
      </c>
      <c r="AM156" s="168">
        <f t="shared" si="113"/>
        <v>26078</v>
      </c>
      <c r="AN156" s="168">
        <f t="shared" si="113"/>
        <v>0</v>
      </c>
      <c r="AO156" s="168">
        <f t="shared" si="113"/>
        <v>0</v>
      </c>
      <c r="AP156" s="168">
        <f t="shared" si="113"/>
        <v>0</v>
      </c>
      <c r="AQ156" s="170"/>
      <c r="AR156" s="171">
        <f t="shared" si="97"/>
        <v>57671.000099999997</v>
      </c>
      <c r="AT156" s="166">
        <f t="shared" si="98"/>
        <v>2016</v>
      </c>
      <c r="AU156" s="166">
        <f t="shared" si="99"/>
        <v>0</v>
      </c>
      <c r="AV156" s="166">
        <v>100</v>
      </c>
      <c r="AW156" s="241">
        <f t="shared" si="100"/>
        <v>0</v>
      </c>
      <c r="AX156" s="166">
        <f t="shared" si="101"/>
        <v>0</v>
      </c>
      <c r="AY156" s="166">
        <f t="shared" si="102"/>
        <v>0</v>
      </c>
      <c r="AZ156" s="242">
        <f t="shared" si="103"/>
        <v>0</v>
      </c>
      <c r="BA156" s="234">
        <f t="shared" si="104"/>
        <v>0</v>
      </c>
      <c r="BB156" s="235">
        <f t="shared" si="105"/>
        <v>0</v>
      </c>
      <c r="BC156" s="235">
        <f t="shared" si="106"/>
        <v>1</v>
      </c>
      <c r="BD156" s="236">
        <f t="shared" si="107"/>
        <v>0</v>
      </c>
    </row>
    <row r="157" spans="1:56" s="163" customFormat="1" ht="16.25" customHeight="1">
      <c r="A157" s="163" t="s">
        <v>232</v>
      </c>
      <c r="B157" s="163" t="s">
        <v>235</v>
      </c>
      <c r="C157" s="164" t="s">
        <v>71</v>
      </c>
      <c r="D157" s="165">
        <v>1</v>
      </c>
      <c r="E157" s="177">
        <f>SpareTeesReelsCostYear</f>
        <v>2016</v>
      </c>
      <c r="F157" s="206">
        <f>D157*SpareTeesReelsUnitCOst</f>
        <v>8779</v>
      </c>
      <c r="G157" s="168">
        <v>9134</v>
      </c>
      <c r="H157" s="206">
        <f t="shared" si="90"/>
        <v>10074.104422486873</v>
      </c>
      <c r="I157" s="166">
        <v>2019</v>
      </c>
      <c r="J157" s="166">
        <v>0</v>
      </c>
      <c r="K157" s="177">
        <f>SpareTeesReelsLife</f>
        <v>10</v>
      </c>
      <c r="L157" s="169"/>
      <c r="M157" s="168">
        <f t="shared" si="111"/>
        <v>0</v>
      </c>
      <c r="N157" s="168">
        <f t="shared" si="111"/>
        <v>0</v>
      </c>
      <c r="O157" s="168">
        <f t="shared" si="111"/>
        <v>0</v>
      </c>
      <c r="P157" s="168">
        <f t="shared" si="111"/>
        <v>0</v>
      </c>
      <c r="Q157" s="168">
        <f t="shared" si="111"/>
        <v>0</v>
      </c>
      <c r="R157" s="168">
        <f t="shared" si="111"/>
        <v>0</v>
      </c>
      <c r="S157" s="168">
        <f t="shared" si="111"/>
        <v>0</v>
      </c>
      <c r="T157" s="168">
        <f t="shared" si="111"/>
        <v>0</v>
      </c>
      <c r="U157" s="168">
        <f t="shared" si="111"/>
        <v>0</v>
      </c>
      <c r="V157" s="168">
        <f t="shared" si="111"/>
        <v>13730</v>
      </c>
      <c r="W157" s="168">
        <f t="shared" si="112"/>
        <v>0</v>
      </c>
      <c r="X157" s="168">
        <f t="shared" si="112"/>
        <v>0</v>
      </c>
      <c r="Y157" s="168">
        <f t="shared" si="112"/>
        <v>0</v>
      </c>
      <c r="Z157" s="168">
        <f t="shared" si="112"/>
        <v>0</v>
      </c>
      <c r="AA157" s="168">
        <f t="shared" si="112"/>
        <v>0</v>
      </c>
      <c r="AB157" s="168">
        <f t="shared" si="112"/>
        <v>0</v>
      </c>
      <c r="AC157" s="168">
        <f t="shared" si="112"/>
        <v>0</v>
      </c>
      <c r="AD157" s="168">
        <f t="shared" si="112"/>
        <v>0</v>
      </c>
      <c r="AE157" s="168">
        <f t="shared" si="112"/>
        <v>0</v>
      </c>
      <c r="AF157" s="168">
        <f t="shared" si="112"/>
        <v>19367</v>
      </c>
      <c r="AG157" s="168">
        <f t="shared" si="113"/>
        <v>0</v>
      </c>
      <c r="AH157" s="168">
        <f t="shared" si="113"/>
        <v>0</v>
      </c>
      <c r="AI157" s="168">
        <f t="shared" si="113"/>
        <v>0</v>
      </c>
      <c r="AJ157" s="168">
        <f t="shared" si="113"/>
        <v>0</v>
      </c>
      <c r="AK157" s="168">
        <f t="shared" si="113"/>
        <v>0</v>
      </c>
      <c r="AL157" s="168">
        <f t="shared" si="113"/>
        <v>0</v>
      </c>
      <c r="AM157" s="168">
        <f t="shared" si="113"/>
        <v>0</v>
      </c>
      <c r="AN157" s="168">
        <f t="shared" si="113"/>
        <v>0</v>
      </c>
      <c r="AO157" s="168">
        <f t="shared" si="113"/>
        <v>0</v>
      </c>
      <c r="AP157" s="168">
        <f t="shared" si="113"/>
        <v>27320</v>
      </c>
      <c r="AQ157" s="170"/>
      <c r="AR157" s="171">
        <f t="shared" si="97"/>
        <v>60417.000099999997</v>
      </c>
      <c r="AT157" s="166">
        <f t="shared" si="98"/>
        <v>2019</v>
      </c>
      <c r="AU157" s="166">
        <f t="shared" si="99"/>
        <v>0</v>
      </c>
      <c r="AV157" s="166">
        <v>100</v>
      </c>
      <c r="AW157" s="241">
        <f t="shared" si="100"/>
        <v>0</v>
      </c>
      <c r="AX157" s="166">
        <f t="shared" si="101"/>
        <v>0</v>
      </c>
      <c r="AY157" s="166">
        <f t="shared" si="102"/>
        <v>0</v>
      </c>
      <c r="AZ157" s="242">
        <f t="shared" si="103"/>
        <v>0</v>
      </c>
      <c r="BA157" s="234">
        <f t="shared" si="104"/>
        <v>0</v>
      </c>
      <c r="BB157" s="235">
        <f t="shared" si="105"/>
        <v>0</v>
      </c>
      <c r="BC157" s="235">
        <f t="shared" si="106"/>
        <v>1</v>
      </c>
      <c r="BD157" s="236">
        <f t="shared" si="107"/>
        <v>0</v>
      </c>
    </row>
    <row r="158" spans="1:56" s="163" customFormat="1" ht="16.25" customHeight="1">
      <c r="A158" s="163" t="s">
        <v>232</v>
      </c>
      <c r="B158" s="163" t="s">
        <v>235</v>
      </c>
      <c r="C158" s="164" t="s">
        <v>36</v>
      </c>
      <c r="D158" s="165">
        <v>1</v>
      </c>
      <c r="E158" s="177">
        <f>SprayProCOstYear</f>
        <v>2015</v>
      </c>
      <c r="F158" s="206">
        <f>D158*SprayProUnitCost</f>
        <v>29859</v>
      </c>
      <c r="G158" s="168">
        <v>0</v>
      </c>
      <c r="H158" s="206">
        <f t="shared" ref="H158:H191" si="114">IF(F158*((1+InflationRate)^(AnalysisYear-E158))&lt;MinimumProjectCost,0,F158*((1+InflationRate)^(AnalysisYear-E158)))</f>
        <v>35463.125400310026</v>
      </c>
      <c r="I158" s="166">
        <v>2007</v>
      </c>
      <c r="J158" s="166">
        <v>0</v>
      </c>
      <c r="K158" s="177">
        <f>SprayProLIfe</f>
        <v>20</v>
      </c>
      <c r="L158" s="169"/>
      <c r="M158" s="168">
        <f t="shared" si="111"/>
        <v>0</v>
      </c>
      <c r="N158" s="168">
        <f t="shared" si="111"/>
        <v>0</v>
      </c>
      <c r="O158" s="168">
        <f t="shared" si="111"/>
        <v>0</v>
      </c>
      <c r="P158" s="168">
        <f t="shared" si="111"/>
        <v>0</v>
      </c>
      <c r="Q158" s="168">
        <f t="shared" si="111"/>
        <v>0</v>
      </c>
      <c r="R158" s="168">
        <f t="shared" si="111"/>
        <v>0</v>
      </c>
      <c r="S158" s="168">
        <f t="shared" si="111"/>
        <v>0</v>
      </c>
      <c r="T158" s="168">
        <f t="shared" si="111"/>
        <v>45119</v>
      </c>
      <c r="U158" s="168">
        <f t="shared" si="111"/>
        <v>0</v>
      </c>
      <c r="V158" s="168">
        <f t="shared" si="111"/>
        <v>0</v>
      </c>
      <c r="W158" s="168">
        <f t="shared" si="112"/>
        <v>0</v>
      </c>
      <c r="X158" s="168">
        <f t="shared" si="112"/>
        <v>0</v>
      </c>
      <c r="Y158" s="168">
        <f t="shared" si="112"/>
        <v>0</v>
      </c>
      <c r="Z158" s="168">
        <f t="shared" si="112"/>
        <v>0</v>
      </c>
      <c r="AA158" s="168">
        <f t="shared" si="112"/>
        <v>0</v>
      </c>
      <c r="AB158" s="168">
        <f t="shared" si="112"/>
        <v>0</v>
      </c>
      <c r="AC158" s="168">
        <f t="shared" si="112"/>
        <v>0</v>
      </c>
      <c r="AD158" s="168">
        <f t="shared" si="112"/>
        <v>0</v>
      </c>
      <c r="AE158" s="168">
        <f t="shared" si="112"/>
        <v>0</v>
      </c>
      <c r="AF158" s="168">
        <f t="shared" si="112"/>
        <v>0</v>
      </c>
      <c r="AG158" s="168">
        <f t="shared" si="113"/>
        <v>0</v>
      </c>
      <c r="AH158" s="168">
        <f t="shared" si="113"/>
        <v>0</v>
      </c>
      <c r="AI158" s="168">
        <f t="shared" si="113"/>
        <v>0</v>
      </c>
      <c r="AJ158" s="168">
        <f t="shared" si="113"/>
        <v>0</v>
      </c>
      <c r="AK158" s="168">
        <f t="shared" si="113"/>
        <v>0</v>
      </c>
      <c r="AL158" s="168">
        <f t="shared" si="113"/>
        <v>0</v>
      </c>
      <c r="AM158" s="168">
        <f t="shared" si="113"/>
        <v>0</v>
      </c>
      <c r="AN158" s="168">
        <f t="shared" si="113"/>
        <v>89777</v>
      </c>
      <c r="AO158" s="168">
        <f t="shared" si="113"/>
        <v>0</v>
      </c>
      <c r="AP158" s="168">
        <f t="shared" si="113"/>
        <v>0</v>
      </c>
      <c r="AQ158" s="170"/>
      <c r="AR158" s="171">
        <f t="shared" si="97"/>
        <v>134896.0001</v>
      </c>
      <c r="AT158" s="166">
        <f t="shared" si="98"/>
        <v>2007</v>
      </c>
      <c r="AU158" s="166">
        <f t="shared" si="99"/>
        <v>0</v>
      </c>
      <c r="AV158" s="166">
        <v>100</v>
      </c>
      <c r="AW158" s="241">
        <f t="shared" si="100"/>
        <v>0</v>
      </c>
      <c r="AX158" s="166">
        <f t="shared" si="101"/>
        <v>0</v>
      </c>
      <c r="AY158" s="166">
        <f t="shared" si="102"/>
        <v>0</v>
      </c>
      <c r="AZ158" s="242">
        <f t="shared" si="103"/>
        <v>0</v>
      </c>
      <c r="BA158" s="234">
        <f t="shared" si="104"/>
        <v>0</v>
      </c>
      <c r="BB158" s="235">
        <f t="shared" si="105"/>
        <v>0</v>
      </c>
      <c r="BC158" s="235">
        <f t="shared" si="106"/>
        <v>1</v>
      </c>
      <c r="BD158" s="236">
        <f t="shared" si="107"/>
        <v>0</v>
      </c>
    </row>
    <row r="159" spans="1:56" s="163" customFormat="1" ht="16.25" customHeight="1">
      <c r="A159" s="163" t="s">
        <v>232</v>
      </c>
      <c r="B159" s="163" t="s">
        <v>235</v>
      </c>
      <c r="C159" s="164" t="s">
        <v>72</v>
      </c>
      <c r="D159" s="165">
        <v>1</v>
      </c>
      <c r="E159" s="177">
        <f>StumpGrinderAttachmentCostYear</f>
        <v>2016</v>
      </c>
      <c r="F159" s="206">
        <f>D159*StumpGrinderAttachmentUnitCost</f>
        <v>8500</v>
      </c>
      <c r="G159" s="168">
        <v>0</v>
      </c>
      <c r="H159" s="206">
        <f t="shared" si="114"/>
        <v>9753.9455053124966</v>
      </c>
      <c r="I159" s="166">
        <v>2016</v>
      </c>
      <c r="J159" s="166">
        <v>0</v>
      </c>
      <c r="K159" s="177">
        <f>StumpGrinderAttachmentLife</f>
        <v>20</v>
      </c>
      <c r="L159" s="169"/>
      <c r="M159" s="168">
        <f t="shared" ref="M159:V168" si="115">ROUND($H159*IF(AND(M$1&gt;=($I159+$J159),MOD(M$1-($I159+$J159),$K159)=0),(1+InflationRate)^(M$1-AnalysisYear),0),0)*IF(AND(M$1&gt;=($AT159+$AU159),(M$1-($AT159+$AU159))&lt;&gt;0,MOD(M$1-($AT159+$AU159),$AV159)=0),0,1)</f>
        <v>0</v>
      </c>
      <c r="N159" s="168">
        <f t="shared" si="115"/>
        <v>0</v>
      </c>
      <c r="O159" s="168">
        <f t="shared" si="115"/>
        <v>0</v>
      </c>
      <c r="P159" s="168">
        <f t="shared" si="115"/>
        <v>0</v>
      </c>
      <c r="Q159" s="168">
        <f t="shared" si="115"/>
        <v>0</v>
      </c>
      <c r="R159" s="168">
        <f t="shared" si="115"/>
        <v>0</v>
      </c>
      <c r="S159" s="168">
        <f t="shared" si="115"/>
        <v>0</v>
      </c>
      <c r="T159" s="168">
        <f t="shared" si="115"/>
        <v>0</v>
      </c>
      <c r="U159" s="168">
        <f t="shared" si="115"/>
        <v>0</v>
      </c>
      <c r="V159" s="168">
        <f t="shared" si="115"/>
        <v>0</v>
      </c>
      <c r="W159" s="168">
        <f t="shared" ref="W159:AF168" si="116">ROUND($H159*IF(AND(W$1&gt;=($I159+$J159),MOD(W$1-($I159+$J159),$K159)=0),(1+InflationRate)^(W$1-AnalysisYear),0),0)*IF(AND(W$1&gt;=($AT159+$AU159),(W$1-($AT159+$AU159))&lt;&gt;0,MOD(W$1-($AT159+$AU159),$AV159)=0),0,1)</f>
        <v>0</v>
      </c>
      <c r="X159" s="168">
        <f t="shared" si="116"/>
        <v>0</v>
      </c>
      <c r="Y159" s="168">
        <f t="shared" si="116"/>
        <v>0</v>
      </c>
      <c r="Z159" s="168">
        <f t="shared" si="116"/>
        <v>0</v>
      </c>
      <c r="AA159" s="168">
        <f t="shared" si="116"/>
        <v>0</v>
      </c>
      <c r="AB159" s="168">
        <f t="shared" si="116"/>
        <v>0</v>
      </c>
      <c r="AC159" s="168">
        <f t="shared" si="116"/>
        <v>16913</v>
      </c>
      <c r="AD159" s="168">
        <f t="shared" si="116"/>
        <v>0</v>
      </c>
      <c r="AE159" s="168">
        <f t="shared" si="116"/>
        <v>0</v>
      </c>
      <c r="AF159" s="168">
        <f t="shared" si="116"/>
        <v>0</v>
      </c>
      <c r="AG159" s="168">
        <f t="shared" ref="AG159:AP168" si="117">ROUND($H159*IF(AND(AG$1&gt;=($I159+$J159),MOD(AG$1-($I159+$J159),$K159)=0),(1+InflationRate)^(AG$1-AnalysisYear),0),0)*IF(AND(AG$1&gt;=($AT159+$AU159),(AG$1-($AT159+$AU159))&lt;&gt;0,MOD(AG$1-($AT159+$AU159),$AV159)=0),0,1)</f>
        <v>0</v>
      </c>
      <c r="AH159" s="168">
        <f t="shared" si="117"/>
        <v>0</v>
      </c>
      <c r="AI159" s="168">
        <f t="shared" si="117"/>
        <v>0</v>
      </c>
      <c r="AJ159" s="168">
        <f t="shared" si="117"/>
        <v>0</v>
      </c>
      <c r="AK159" s="168">
        <f t="shared" si="117"/>
        <v>0</v>
      </c>
      <c r="AL159" s="168">
        <f t="shared" si="117"/>
        <v>0</v>
      </c>
      <c r="AM159" s="168">
        <f t="shared" si="117"/>
        <v>0</v>
      </c>
      <c r="AN159" s="168">
        <f t="shared" si="117"/>
        <v>0</v>
      </c>
      <c r="AO159" s="168">
        <f t="shared" si="117"/>
        <v>0</v>
      </c>
      <c r="AP159" s="168">
        <f t="shared" si="117"/>
        <v>0</v>
      </c>
      <c r="AQ159" s="170"/>
      <c r="AR159" s="171">
        <f t="shared" si="97"/>
        <v>16913.000100000001</v>
      </c>
      <c r="AT159" s="166">
        <f t="shared" si="98"/>
        <v>2016</v>
      </c>
      <c r="AU159" s="166">
        <f t="shared" si="99"/>
        <v>0</v>
      </c>
      <c r="AV159" s="166">
        <v>100</v>
      </c>
      <c r="AW159" s="241">
        <f t="shared" si="100"/>
        <v>0</v>
      </c>
      <c r="AX159" s="166">
        <f t="shared" si="101"/>
        <v>0</v>
      </c>
      <c r="AY159" s="166">
        <f t="shared" si="102"/>
        <v>0</v>
      </c>
      <c r="AZ159" s="242">
        <f t="shared" si="103"/>
        <v>0</v>
      </c>
      <c r="BA159" s="234">
        <f t="shared" si="104"/>
        <v>0</v>
      </c>
      <c r="BB159" s="235">
        <f t="shared" si="105"/>
        <v>0</v>
      </c>
      <c r="BC159" s="235">
        <f t="shared" si="106"/>
        <v>1</v>
      </c>
      <c r="BD159" s="236">
        <f t="shared" si="107"/>
        <v>0</v>
      </c>
    </row>
    <row r="160" spans="1:56" s="163" customFormat="1" ht="16.25" customHeight="1">
      <c r="A160" s="163" t="s">
        <v>232</v>
      </c>
      <c r="B160" s="163" t="s">
        <v>235</v>
      </c>
      <c r="C160" s="164" t="s">
        <v>37</v>
      </c>
      <c r="D160" s="165">
        <v>1</v>
      </c>
      <c r="E160" s="177">
        <f>SweeperThatcherCOstYear</f>
        <v>2015</v>
      </c>
      <c r="F160" s="206">
        <f>SweeperThatcherUnitCost*D160</f>
        <v>7494</v>
      </c>
      <c r="G160" s="168">
        <v>0</v>
      </c>
      <c r="H160" s="206">
        <f t="shared" si="114"/>
        <v>8900.5211745176766</v>
      </c>
      <c r="I160" s="166">
        <v>2008</v>
      </c>
      <c r="J160" s="166">
        <v>10</v>
      </c>
      <c r="K160" s="177">
        <f>SweeperThatcherLife</f>
        <v>10</v>
      </c>
      <c r="L160" s="169"/>
      <c r="M160" s="168">
        <f t="shared" si="115"/>
        <v>0</v>
      </c>
      <c r="N160" s="168">
        <f t="shared" si="115"/>
        <v>0</v>
      </c>
      <c r="O160" s="168">
        <f t="shared" si="115"/>
        <v>0</v>
      </c>
      <c r="P160" s="168">
        <f t="shared" si="115"/>
        <v>0</v>
      </c>
      <c r="Q160" s="168">
        <f t="shared" si="115"/>
        <v>0</v>
      </c>
      <c r="R160" s="168">
        <f t="shared" si="115"/>
        <v>0</v>
      </c>
      <c r="S160" s="168">
        <f t="shared" si="115"/>
        <v>0</v>
      </c>
      <c r="T160" s="168">
        <f t="shared" si="115"/>
        <v>0</v>
      </c>
      <c r="U160" s="168">
        <f t="shared" si="115"/>
        <v>11720</v>
      </c>
      <c r="V160" s="168">
        <f t="shared" si="115"/>
        <v>0</v>
      </c>
      <c r="W160" s="168">
        <f t="shared" si="116"/>
        <v>0</v>
      </c>
      <c r="X160" s="168">
        <f t="shared" si="116"/>
        <v>0</v>
      </c>
      <c r="Y160" s="168">
        <f t="shared" si="116"/>
        <v>0</v>
      </c>
      <c r="Z160" s="168">
        <f t="shared" si="116"/>
        <v>0</v>
      </c>
      <c r="AA160" s="168">
        <f t="shared" si="116"/>
        <v>0</v>
      </c>
      <c r="AB160" s="168">
        <f t="shared" si="116"/>
        <v>0</v>
      </c>
      <c r="AC160" s="168">
        <f t="shared" si="116"/>
        <v>0</v>
      </c>
      <c r="AD160" s="168">
        <f t="shared" si="116"/>
        <v>0</v>
      </c>
      <c r="AE160" s="168">
        <f t="shared" si="116"/>
        <v>16533</v>
      </c>
      <c r="AF160" s="168">
        <f t="shared" si="116"/>
        <v>0</v>
      </c>
      <c r="AG160" s="168">
        <f t="shared" si="117"/>
        <v>0</v>
      </c>
      <c r="AH160" s="168">
        <f t="shared" si="117"/>
        <v>0</v>
      </c>
      <c r="AI160" s="168">
        <f t="shared" si="117"/>
        <v>0</v>
      </c>
      <c r="AJ160" s="168">
        <f t="shared" si="117"/>
        <v>0</v>
      </c>
      <c r="AK160" s="168">
        <f t="shared" si="117"/>
        <v>0</v>
      </c>
      <c r="AL160" s="168">
        <f t="shared" si="117"/>
        <v>0</v>
      </c>
      <c r="AM160" s="168">
        <f t="shared" si="117"/>
        <v>0</v>
      </c>
      <c r="AN160" s="168">
        <f t="shared" si="117"/>
        <v>0</v>
      </c>
      <c r="AO160" s="168">
        <f t="shared" si="117"/>
        <v>23321</v>
      </c>
      <c r="AP160" s="168">
        <f t="shared" si="117"/>
        <v>0</v>
      </c>
      <c r="AQ160" s="170"/>
      <c r="AR160" s="171">
        <f t="shared" si="97"/>
        <v>51574.000099999997</v>
      </c>
      <c r="AT160" s="166">
        <f t="shared" si="98"/>
        <v>2008</v>
      </c>
      <c r="AU160" s="166">
        <f t="shared" si="99"/>
        <v>10</v>
      </c>
      <c r="AV160" s="166">
        <v>100</v>
      </c>
      <c r="AW160" s="241">
        <f t="shared" si="100"/>
        <v>0</v>
      </c>
      <c r="AX160" s="166">
        <f t="shared" si="101"/>
        <v>0</v>
      </c>
      <c r="AY160" s="166">
        <f t="shared" si="102"/>
        <v>0</v>
      </c>
      <c r="AZ160" s="242">
        <f t="shared" si="103"/>
        <v>0</v>
      </c>
      <c r="BA160" s="234">
        <f t="shared" si="104"/>
        <v>0</v>
      </c>
      <c r="BB160" s="235">
        <f t="shared" si="105"/>
        <v>0</v>
      </c>
      <c r="BC160" s="235">
        <f t="shared" si="106"/>
        <v>1</v>
      </c>
      <c r="BD160" s="236">
        <f t="shared" si="107"/>
        <v>0</v>
      </c>
    </row>
    <row r="161" spans="1:56" s="163" customFormat="1" ht="16.25" customHeight="1">
      <c r="A161" s="163" t="s">
        <v>232</v>
      </c>
      <c r="B161" s="163" t="s">
        <v>235</v>
      </c>
      <c r="C161" s="164" t="s">
        <v>38</v>
      </c>
      <c r="D161" s="165">
        <v>1</v>
      </c>
      <c r="E161" s="177">
        <f>TractorwforkliftbackhoeCostYear</f>
        <v>2015</v>
      </c>
      <c r="F161" s="206">
        <f>D161*Tractorwforkliftbackhoeunitcost</f>
        <v>38414</v>
      </c>
      <c r="G161" s="168">
        <v>0</v>
      </c>
      <c r="H161" s="206">
        <f t="shared" si="114"/>
        <v>45623.781745119035</v>
      </c>
      <c r="I161" s="166">
        <v>1987</v>
      </c>
      <c r="J161" s="166">
        <v>5</v>
      </c>
      <c r="K161" s="177">
        <f>TractorwforkliftbackhoeLife</f>
        <v>30</v>
      </c>
      <c r="L161" s="169"/>
      <c r="M161" s="168">
        <f t="shared" si="115"/>
        <v>0</v>
      </c>
      <c r="N161" s="168">
        <f t="shared" si="115"/>
        <v>0</v>
      </c>
      <c r="O161" s="168">
        <f t="shared" si="115"/>
        <v>48873</v>
      </c>
      <c r="P161" s="168">
        <f t="shared" si="115"/>
        <v>0</v>
      </c>
      <c r="Q161" s="168">
        <f t="shared" si="115"/>
        <v>0</v>
      </c>
      <c r="R161" s="168">
        <f t="shared" si="115"/>
        <v>0</v>
      </c>
      <c r="S161" s="168">
        <f t="shared" si="115"/>
        <v>0</v>
      </c>
      <c r="T161" s="168">
        <f t="shared" si="115"/>
        <v>0</v>
      </c>
      <c r="U161" s="168">
        <f t="shared" si="115"/>
        <v>0</v>
      </c>
      <c r="V161" s="168">
        <f t="shared" si="115"/>
        <v>0</v>
      </c>
      <c r="W161" s="168">
        <f t="shared" si="116"/>
        <v>0</v>
      </c>
      <c r="X161" s="168">
        <f t="shared" si="116"/>
        <v>0</v>
      </c>
      <c r="Y161" s="168">
        <f t="shared" si="116"/>
        <v>0</v>
      </c>
      <c r="Z161" s="168">
        <f t="shared" si="116"/>
        <v>0</v>
      </c>
      <c r="AA161" s="168">
        <f t="shared" si="116"/>
        <v>0</v>
      </c>
      <c r="AB161" s="168">
        <f t="shared" si="116"/>
        <v>0</v>
      </c>
      <c r="AC161" s="168">
        <f t="shared" si="116"/>
        <v>0</v>
      </c>
      <c r="AD161" s="168">
        <f t="shared" si="116"/>
        <v>0</v>
      </c>
      <c r="AE161" s="168">
        <f t="shared" si="116"/>
        <v>0</v>
      </c>
      <c r="AF161" s="168">
        <f t="shared" si="116"/>
        <v>0</v>
      </c>
      <c r="AG161" s="168">
        <f t="shared" si="117"/>
        <v>0</v>
      </c>
      <c r="AH161" s="168">
        <f t="shared" si="117"/>
        <v>0</v>
      </c>
      <c r="AI161" s="168">
        <f t="shared" si="117"/>
        <v>0</v>
      </c>
      <c r="AJ161" s="168">
        <f t="shared" si="117"/>
        <v>0</v>
      </c>
      <c r="AK161" s="168">
        <f t="shared" si="117"/>
        <v>0</v>
      </c>
      <c r="AL161" s="168">
        <f t="shared" si="117"/>
        <v>0</v>
      </c>
      <c r="AM161" s="168">
        <f t="shared" si="117"/>
        <v>0</v>
      </c>
      <c r="AN161" s="168">
        <f t="shared" si="117"/>
        <v>0</v>
      </c>
      <c r="AO161" s="168">
        <f t="shared" si="117"/>
        <v>0</v>
      </c>
      <c r="AP161" s="168">
        <f t="shared" si="117"/>
        <v>0</v>
      </c>
      <c r="AQ161" s="170"/>
      <c r="AR161" s="171">
        <f t="shared" ref="AR161:AR190" si="118">SUM(L161:AQ161)+0.0001</f>
        <v>48873.000099999997</v>
      </c>
      <c r="AT161" s="166">
        <f t="shared" ref="AT161:AT191" si="119">I161</f>
        <v>1987</v>
      </c>
      <c r="AU161" s="166">
        <f t="shared" ref="AU161:AU191" si="120">J161</f>
        <v>5</v>
      </c>
      <c r="AV161" s="166">
        <v>100</v>
      </c>
      <c r="AW161" s="241">
        <f t="shared" ref="AW161:AW191" si="121">IF($L161="F",1,0)</f>
        <v>0</v>
      </c>
      <c r="AX161" s="166">
        <f t="shared" ref="AX161:AX191" si="122">IF($L161="L",1,0)</f>
        <v>0</v>
      </c>
      <c r="AY161" s="166">
        <f t="shared" ref="AY161:AY191" si="123">IF($L161="T",1,0)</f>
        <v>0</v>
      </c>
      <c r="AZ161" s="242">
        <f t="shared" ref="AZ161:AZ191" si="124">IF($L161="I",1,0)</f>
        <v>0</v>
      </c>
      <c r="BA161" s="234">
        <f t="shared" si="104"/>
        <v>0</v>
      </c>
      <c r="BB161" s="235">
        <f t="shared" si="105"/>
        <v>0</v>
      </c>
      <c r="BC161" s="235">
        <f t="shared" si="106"/>
        <v>1</v>
      </c>
      <c r="BD161" s="236">
        <f t="shared" si="107"/>
        <v>0</v>
      </c>
    </row>
    <row r="162" spans="1:56" s="163" customFormat="1" ht="16.25" customHeight="1">
      <c r="A162" s="163" t="s">
        <v>232</v>
      </c>
      <c r="B162" s="163" t="s">
        <v>235</v>
      </c>
      <c r="C162" s="187" t="s">
        <v>376</v>
      </c>
      <c r="D162" s="165">
        <v>1</v>
      </c>
      <c r="E162" s="177">
        <f>Mowerroughfairwaycostyear</f>
        <v>2018</v>
      </c>
      <c r="F162" s="206">
        <f>D162*Mowerroughfairwayunitcost</f>
        <v>47980</v>
      </c>
      <c r="G162" s="168">
        <v>0</v>
      </c>
      <c r="H162" s="206">
        <f t="shared" si="114"/>
        <v>51397.375499999995</v>
      </c>
      <c r="I162" s="166">
        <v>2018</v>
      </c>
      <c r="J162" s="166"/>
      <c r="K162" s="177">
        <f>Mowerroughfairwaylife</f>
        <v>10</v>
      </c>
      <c r="L162" s="169"/>
      <c r="M162" s="168">
        <f t="shared" si="115"/>
        <v>0</v>
      </c>
      <c r="N162" s="168">
        <f t="shared" si="115"/>
        <v>0</v>
      </c>
      <c r="O162" s="168">
        <f t="shared" si="115"/>
        <v>0</v>
      </c>
      <c r="P162" s="168">
        <f t="shared" si="115"/>
        <v>0</v>
      </c>
      <c r="Q162" s="168">
        <f t="shared" si="115"/>
        <v>0</v>
      </c>
      <c r="R162" s="168">
        <f t="shared" si="115"/>
        <v>0</v>
      </c>
      <c r="S162" s="168">
        <f t="shared" si="115"/>
        <v>0</v>
      </c>
      <c r="T162" s="168">
        <f t="shared" si="115"/>
        <v>0</v>
      </c>
      <c r="U162" s="168">
        <f t="shared" si="115"/>
        <v>67681</v>
      </c>
      <c r="V162" s="168">
        <f t="shared" si="115"/>
        <v>0</v>
      </c>
      <c r="W162" s="168">
        <f t="shared" si="116"/>
        <v>0</v>
      </c>
      <c r="X162" s="168">
        <f t="shared" si="116"/>
        <v>0</v>
      </c>
      <c r="Y162" s="168">
        <f t="shared" si="116"/>
        <v>0</v>
      </c>
      <c r="Z162" s="168">
        <f t="shared" si="116"/>
        <v>0</v>
      </c>
      <c r="AA162" s="168">
        <f t="shared" si="116"/>
        <v>0</v>
      </c>
      <c r="AB162" s="168">
        <f t="shared" si="116"/>
        <v>0</v>
      </c>
      <c r="AC162" s="168">
        <f t="shared" si="116"/>
        <v>0</v>
      </c>
      <c r="AD162" s="168">
        <f t="shared" si="116"/>
        <v>0</v>
      </c>
      <c r="AE162" s="168">
        <f t="shared" si="116"/>
        <v>95470</v>
      </c>
      <c r="AF162" s="168">
        <f t="shared" si="116"/>
        <v>0</v>
      </c>
      <c r="AG162" s="168">
        <f t="shared" si="117"/>
        <v>0</v>
      </c>
      <c r="AH162" s="168">
        <f t="shared" si="117"/>
        <v>0</v>
      </c>
      <c r="AI162" s="168">
        <f t="shared" si="117"/>
        <v>0</v>
      </c>
      <c r="AJ162" s="168">
        <f t="shared" si="117"/>
        <v>0</v>
      </c>
      <c r="AK162" s="168">
        <f t="shared" si="117"/>
        <v>0</v>
      </c>
      <c r="AL162" s="168">
        <f t="shared" si="117"/>
        <v>0</v>
      </c>
      <c r="AM162" s="168">
        <f t="shared" si="117"/>
        <v>0</v>
      </c>
      <c r="AN162" s="168">
        <f t="shared" si="117"/>
        <v>0</v>
      </c>
      <c r="AO162" s="168">
        <f t="shared" si="117"/>
        <v>134670</v>
      </c>
      <c r="AP162" s="168">
        <f t="shared" si="117"/>
        <v>0</v>
      </c>
      <c r="AQ162" s="170"/>
      <c r="AR162" s="171">
        <f t="shared" si="118"/>
        <v>297821.0001</v>
      </c>
      <c r="AT162" s="166">
        <f t="shared" si="119"/>
        <v>2018</v>
      </c>
      <c r="AU162" s="166">
        <f t="shared" si="120"/>
        <v>0</v>
      </c>
      <c r="AV162" s="166">
        <v>100</v>
      </c>
      <c r="AW162" s="241">
        <f t="shared" si="121"/>
        <v>0</v>
      </c>
      <c r="AX162" s="166">
        <f t="shared" si="122"/>
        <v>0</v>
      </c>
      <c r="AY162" s="166">
        <f t="shared" si="123"/>
        <v>0</v>
      </c>
      <c r="AZ162" s="242">
        <f t="shared" si="124"/>
        <v>0</v>
      </c>
      <c r="BA162" s="234">
        <f t="shared" si="104"/>
        <v>0</v>
      </c>
      <c r="BB162" s="235">
        <f t="shared" si="105"/>
        <v>0</v>
      </c>
      <c r="BC162" s="235">
        <f t="shared" si="106"/>
        <v>1</v>
      </c>
      <c r="BD162" s="236">
        <f t="shared" si="107"/>
        <v>0</v>
      </c>
    </row>
    <row r="163" spans="1:56" s="163" customFormat="1" ht="16.25" customHeight="1">
      <c r="A163" s="163" t="s">
        <v>232</v>
      </c>
      <c r="B163" s="163" t="s">
        <v>235</v>
      </c>
      <c r="C163" s="164" t="s">
        <v>42</v>
      </c>
      <c r="D163" s="165">
        <v>1</v>
      </c>
      <c r="E163" s="177">
        <f>VerticuttReelsCostYear</f>
        <v>2015</v>
      </c>
      <c r="F163" s="206">
        <f>D163*VerticuttReelsUnitCOst</f>
        <v>9000</v>
      </c>
      <c r="G163" s="168">
        <v>0</v>
      </c>
      <c r="H163" s="206">
        <f t="shared" si="114"/>
        <v>10689.176750821871</v>
      </c>
      <c r="I163" s="166">
        <v>2006</v>
      </c>
      <c r="J163" s="166">
        <v>12</v>
      </c>
      <c r="K163" s="177">
        <f>VerticuttReelsLife</f>
        <v>12</v>
      </c>
      <c r="L163" s="169"/>
      <c r="M163" s="168">
        <f t="shared" si="115"/>
        <v>0</v>
      </c>
      <c r="N163" s="168">
        <f t="shared" si="115"/>
        <v>0</v>
      </c>
      <c r="O163" s="168">
        <f t="shared" si="115"/>
        <v>0</v>
      </c>
      <c r="P163" s="168">
        <f t="shared" si="115"/>
        <v>0</v>
      </c>
      <c r="Q163" s="168">
        <f t="shared" si="115"/>
        <v>0</v>
      </c>
      <c r="R163" s="168">
        <f t="shared" si="115"/>
        <v>0</v>
      </c>
      <c r="S163" s="168">
        <f t="shared" si="115"/>
        <v>0</v>
      </c>
      <c r="T163" s="168">
        <f t="shared" si="115"/>
        <v>0</v>
      </c>
      <c r="U163" s="168">
        <f t="shared" si="115"/>
        <v>0</v>
      </c>
      <c r="V163" s="168">
        <f t="shared" si="115"/>
        <v>0</v>
      </c>
      <c r="W163" s="168">
        <f t="shared" si="116"/>
        <v>15078</v>
      </c>
      <c r="X163" s="168">
        <f t="shared" si="116"/>
        <v>0</v>
      </c>
      <c r="Y163" s="168">
        <f t="shared" si="116"/>
        <v>0</v>
      </c>
      <c r="Z163" s="168">
        <f t="shared" si="116"/>
        <v>0</v>
      </c>
      <c r="AA163" s="168">
        <f t="shared" si="116"/>
        <v>0</v>
      </c>
      <c r="AB163" s="168">
        <f t="shared" si="116"/>
        <v>0</v>
      </c>
      <c r="AC163" s="168">
        <f t="shared" si="116"/>
        <v>0</v>
      </c>
      <c r="AD163" s="168">
        <f t="shared" si="116"/>
        <v>0</v>
      </c>
      <c r="AE163" s="168">
        <f t="shared" si="116"/>
        <v>0</v>
      </c>
      <c r="AF163" s="168">
        <f t="shared" si="116"/>
        <v>0</v>
      </c>
      <c r="AG163" s="168">
        <f t="shared" si="117"/>
        <v>0</v>
      </c>
      <c r="AH163" s="168">
        <f t="shared" si="117"/>
        <v>0</v>
      </c>
      <c r="AI163" s="168">
        <f t="shared" si="117"/>
        <v>22784</v>
      </c>
      <c r="AJ163" s="168">
        <f t="shared" si="117"/>
        <v>0</v>
      </c>
      <c r="AK163" s="168">
        <f t="shared" si="117"/>
        <v>0</v>
      </c>
      <c r="AL163" s="168">
        <f t="shared" si="117"/>
        <v>0</v>
      </c>
      <c r="AM163" s="168">
        <f t="shared" si="117"/>
        <v>0</v>
      </c>
      <c r="AN163" s="168">
        <f t="shared" si="117"/>
        <v>0</v>
      </c>
      <c r="AO163" s="168">
        <f t="shared" si="117"/>
        <v>0</v>
      </c>
      <c r="AP163" s="168">
        <f t="shared" si="117"/>
        <v>0</v>
      </c>
      <c r="AQ163" s="170"/>
      <c r="AR163" s="171">
        <f t="shared" si="118"/>
        <v>37862.000099999997</v>
      </c>
      <c r="AT163" s="166">
        <f t="shared" si="119"/>
        <v>2006</v>
      </c>
      <c r="AU163" s="166">
        <f t="shared" si="120"/>
        <v>12</v>
      </c>
      <c r="AV163" s="166">
        <v>100</v>
      </c>
      <c r="AW163" s="241">
        <f t="shared" si="121"/>
        <v>0</v>
      </c>
      <c r="AX163" s="166">
        <f t="shared" si="122"/>
        <v>0</v>
      </c>
      <c r="AY163" s="166">
        <f t="shared" si="123"/>
        <v>0</v>
      </c>
      <c r="AZ163" s="242">
        <f t="shared" si="124"/>
        <v>0</v>
      </c>
      <c r="BA163" s="234">
        <f t="shared" si="104"/>
        <v>0</v>
      </c>
      <c r="BB163" s="235">
        <f t="shared" si="105"/>
        <v>0</v>
      </c>
      <c r="BC163" s="235">
        <f t="shared" si="106"/>
        <v>1</v>
      </c>
      <c r="BD163" s="236">
        <f t="shared" si="107"/>
        <v>0</v>
      </c>
    </row>
    <row r="164" spans="1:56" s="163" customFormat="1" ht="16.25" customHeight="1">
      <c r="A164" s="163" t="s">
        <v>232</v>
      </c>
      <c r="B164" s="163" t="s">
        <v>235</v>
      </c>
      <c r="C164" s="164" t="s">
        <v>43</v>
      </c>
      <c r="D164" s="165">
        <v>1</v>
      </c>
      <c r="E164" s="177">
        <f>WeatherStationCostYear</f>
        <v>2019</v>
      </c>
      <c r="F164" s="206">
        <f>D164*WeatherStationUnitCost</f>
        <v>7927</v>
      </c>
      <c r="G164" s="168">
        <v>7927</v>
      </c>
      <c r="H164" s="206">
        <f t="shared" si="114"/>
        <v>8204.4449999999997</v>
      </c>
      <c r="I164" s="166">
        <v>2019</v>
      </c>
      <c r="J164" s="166"/>
      <c r="K164" s="177">
        <f>WeatherStationLife</f>
        <v>25</v>
      </c>
      <c r="L164" s="169" t="s">
        <v>414</v>
      </c>
      <c r="M164" s="168">
        <f t="shared" si="115"/>
        <v>0</v>
      </c>
      <c r="N164" s="168">
        <f t="shared" si="115"/>
        <v>0</v>
      </c>
      <c r="O164" s="168">
        <f t="shared" si="115"/>
        <v>0</v>
      </c>
      <c r="P164" s="168">
        <f t="shared" si="115"/>
        <v>0</v>
      </c>
      <c r="Q164" s="168">
        <f t="shared" si="115"/>
        <v>0</v>
      </c>
      <c r="R164" s="168">
        <f t="shared" si="115"/>
        <v>0</v>
      </c>
      <c r="S164" s="168">
        <f t="shared" si="115"/>
        <v>0</v>
      </c>
      <c r="T164" s="168">
        <f t="shared" si="115"/>
        <v>0</v>
      </c>
      <c r="U164" s="168">
        <f t="shared" si="115"/>
        <v>0</v>
      </c>
      <c r="V164" s="168">
        <f t="shared" si="115"/>
        <v>0</v>
      </c>
      <c r="W164" s="168">
        <f t="shared" si="116"/>
        <v>0</v>
      </c>
      <c r="X164" s="168">
        <f t="shared" si="116"/>
        <v>0</v>
      </c>
      <c r="Y164" s="168">
        <f t="shared" si="116"/>
        <v>0</v>
      </c>
      <c r="Z164" s="168">
        <f t="shared" si="116"/>
        <v>0</v>
      </c>
      <c r="AA164" s="168">
        <f t="shared" si="116"/>
        <v>0</v>
      </c>
      <c r="AB164" s="168">
        <f t="shared" si="116"/>
        <v>0</v>
      </c>
      <c r="AC164" s="168">
        <f t="shared" si="116"/>
        <v>0</v>
      </c>
      <c r="AD164" s="168">
        <f t="shared" si="116"/>
        <v>0</v>
      </c>
      <c r="AE164" s="168">
        <f t="shared" si="116"/>
        <v>0</v>
      </c>
      <c r="AF164" s="168">
        <f t="shared" si="116"/>
        <v>0</v>
      </c>
      <c r="AG164" s="168">
        <f t="shared" si="117"/>
        <v>0</v>
      </c>
      <c r="AH164" s="168">
        <f t="shared" si="117"/>
        <v>0</v>
      </c>
      <c r="AI164" s="168">
        <f t="shared" si="117"/>
        <v>0</v>
      </c>
      <c r="AJ164" s="168">
        <f t="shared" si="117"/>
        <v>0</v>
      </c>
      <c r="AK164" s="168">
        <f t="shared" si="117"/>
        <v>18733</v>
      </c>
      <c r="AL164" s="168">
        <f t="shared" si="117"/>
        <v>0</v>
      </c>
      <c r="AM164" s="168">
        <f t="shared" si="117"/>
        <v>0</v>
      </c>
      <c r="AN164" s="168">
        <f t="shared" si="117"/>
        <v>0</v>
      </c>
      <c r="AO164" s="168">
        <f t="shared" si="117"/>
        <v>0</v>
      </c>
      <c r="AP164" s="168">
        <f t="shared" si="117"/>
        <v>0</v>
      </c>
      <c r="AQ164" s="170"/>
      <c r="AR164" s="171">
        <f t="shared" si="118"/>
        <v>18733.000100000001</v>
      </c>
      <c r="AT164" s="166">
        <f t="shared" si="119"/>
        <v>2019</v>
      </c>
      <c r="AU164" s="166">
        <f t="shared" si="120"/>
        <v>0</v>
      </c>
      <c r="AV164" s="166">
        <v>100</v>
      </c>
      <c r="AW164" s="241">
        <f t="shared" si="121"/>
        <v>0</v>
      </c>
      <c r="AX164" s="166">
        <f t="shared" si="122"/>
        <v>1</v>
      </c>
      <c r="AY164" s="166">
        <f t="shared" si="123"/>
        <v>0</v>
      </c>
      <c r="AZ164" s="242">
        <f t="shared" si="124"/>
        <v>0</v>
      </c>
      <c r="BA164" s="234">
        <f t="shared" si="104"/>
        <v>0</v>
      </c>
      <c r="BB164" s="235">
        <f t="shared" si="105"/>
        <v>0</v>
      </c>
      <c r="BC164" s="235">
        <f t="shared" si="106"/>
        <v>1</v>
      </c>
      <c r="BD164" s="236">
        <f t="shared" si="107"/>
        <v>0</v>
      </c>
    </row>
    <row r="165" spans="1:56" s="163" customFormat="1" ht="16.25" customHeight="1">
      <c r="A165" s="163" t="s">
        <v>233</v>
      </c>
      <c r="B165" s="163" t="s">
        <v>407</v>
      </c>
      <c r="C165" s="163" t="s">
        <v>7</v>
      </c>
      <c r="D165" s="176">
        <v>11819</v>
      </c>
      <c r="E165" s="177">
        <f t="shared" ref="E165:E170" si="125">RoadRRasphaltcostyear</f>
        <v>2019</v>
      </c>
      <c r="F165" s="203">
        <f t="shared" ref="F165:F170" si="126">D165*RoadRRasphaltunitcost</f>
        <v>236380</v>
      </c>
      <c r="G165" s="167">
        <v>0</v>
      </c>
      <c r="H165" s="206">
        <f t="shared" si="114"/>
        <v>244653.3</v>
      </c>
      <c r="I165" s="166">
        <v>2014</v>
      </c>
      <c r="J165" s="166">
        <v>0</v>
      </c>
      <c r="K165" s="177">
        <f t="shared" ref="K165:K170" si="127">RoadRRAsphaltLife</f>
        <v>30</v>
      </c>
      <c r="L165" s="169"/>
      <c r="M165" s="168">
        <f t="shared" si="115"/>
        <v>0</v>
      </c>
      <c r="N165" s="168">
        <f t="shared" si="115"/>
        <v>0</v>
      </c>
      <c r="O165" s="168">
        <f t="shared" si="115"/>
        <v>0</v>
      </c>
      <c r="P165" s="168">
        <f t="shared" si="115"/>
        <v>0</v>
      </c>
      <c r="Q165" s="168">
        <f t="shared" si="115"/>
        <v>0</v>
      </c>
      <c r="R165" s="168">
        <f t="shared" si="115"/>
        <v>0</v>
      </c>
      <c r="S165" s="168">
        <f t="shared" si="115"/>
        <v>0</v>
      </c>
      <c r="T165" s="168">
        <f t="shared" si="115"/>
        <v>0</v>
      </c>
      <c r="U165" s="168">
        <f t="shared" si="115"/>
        <v>0</v>
      </c>
      <c r="V165" s="168">
        <f t="shared" si="115"/>
        <v>0</v>
      </c>
      <c r="W165" s="168">
        <f t="shared" si="116"/>
        <v>0</v>
      </c>
      <c r="X165" s="168">
        <f t="shared" si="116"/>
        <v>0</v>
      </c>
      <c r="Y165" s="168">
        <f t="shared" si="116"/>
        <v>0</v>
      </c>
      <c r="Z165" s="168">
        <f t="shared" si="116"/>
        <v>0</v>
      </c>
      <c r="AA165" s="168">
        <f t="shared" si="116"/>
        <v>0</v>
      </c>
      <c r="AB165" s="168">
        <f t="shared" si="116"/>
        <v>0</v>
      </c>
      <c r="AC165" s="168">
        <f t="shared" si="116"/>
        <v>0</v>
      </c>
      <c r="AD165" s="168">
        <f t="shared" si="116"/>
        <v>0</v>
      </c>
      <c r="AE165" s="168">
        <f t="shared" si="116"/>
        <v>0</v>
      </c>
      <c r="AF165" s="168">
        <f t="shared" si="116"/>
        <v>0</v>
      </c>
      <c r="AG165" s="168">
        <f t="shared" si="117"/>
        <v>0</v>
      </c>
      <c r="AH165" s="168">
        <f t="shared" si="117"/>
        <v>0</v>
      </c>
      <c r="AI165" s="168">
        <f t="shared" si="117"/>
        <v>0</v>
      </c>
      <c r="AJ165" s="168">
        <f t="shared" si="117"/>
        <v>0</v>
      </c>
      <c r="AK165" s="168">
        <f t="shared" si="117"/>
        <v>558624</v>
      </c>
      <c r="AL165" s="168">
        <f t="shared" si="117"/>
        <v>0</v>
      </c>
      <c r="AM165" s="168">
        <f t="shared" si="117"/>
        <v>0</v>
      </c>
      <c r="AN165" s="168">
        <f t="shared" si="117"/>
        <v>0</v>
      </c>
      <c r="AO165" s="168">
        <f t="shared" si="117"/>
        <v>0</v>
      </c>
      <c r="AP165" s="168">
        <f t="shared" si="117"/>
        <v>0</v>
      </c>
      <c r="AQ165" s="170"/>
      <c r="AR165" s="171">
        <f t="shared" si="118"/>
        <v>558624.00009999995</v>
      </c>
      <c r="AT165" s="166">
        <f t="shared" si="119"/>
        <v>2014</v>
      </c>
      <c r="AU165" s="166">
        <f t="shared" si="120"/>
        <v>0</v>
      </c>
      <c r="AV165" s="166">
        <v>100</v>
      </c>
      <c r="AW165" s="241">
        <f t="shared" si="121"/>
        <v>0</v>
      </c>
      <c r="AX165" s="166">
        <f t="shared" si="122"/>
        <v>0</v>
      </c>
      <c r="AY165" s="166">
        <f t="shared" si="123"/>
        <v>0</v>
      </c>
      <c r="AZ165" s="242">
        <f t="shared" si="124"/>
        <v>0</v>
      </c>
      <c r="BA165" s="234">
        <f t="shared" si="104"/>
        <v>0</v>
      </c>
      <c r="BB165" s="235">
        <f t="shared" si="105"/>
        <v>0</v>
      </c>
      <c r="BC165" s="235">
        <f t="shared" si="106"/>
        <v>0</v>
      </c>
      <c r="BD165" s="236">
        <f t="shared" si="107"/>
        <v>1</v>
      </c>
    </row>
    <row r="166" spans="1:56" s="163" customFormat="1" ht="16.25" customHeight="1">
      <c r="A166" s="163" t="s">
        <v>233</v>
      </c>
      <c r="B166" s="163" t="s">
        <v>407</v>
      </c>
      <c r="C166" s="163" t="s">
        <v>210</v>
      </c>
      <c r="D166" s="176">
        <v>2899</v>
      </c>
      <c r="E166" s="177">
        <f t="shared" si="125"/>
        <v>2019</v>
      </c>
      <c r="F166" s="203">
        <f t="shared" si="126"/>
        <v>57980</v>
      </c>
      <c r="G166" s="167">
        <v>0</v>
      </c>
      <c r="H166" s="206">
        <f t="shared" si="114"/>
        <v>60009.299999999996</v>
      </c>
      <c r="I166" s="166">
        <v>2012</v>
      </c>
      <c r="J166" s="166"/>
      <c r="K166" s="177">
        <f t="shared" si="127"/>
        <v>30</v>
      </c>
      <c r="L166" s="169"/>
      <c r="M166" s="168">
        <f t="shared" si="115"/>
        <v>0</v>
      </c>
      <c r="N166" s="168">
        <f t="shared" si="115"/>
        <v>0</v>
      </c>
      <c r="O166" s="168">
        <f t="shared" si="115"/>
        <v>0</v>
      </c>
      <c r="P166" s="168">
        <f t="shared" si="115"/>
        <v>0</v>
      </c>
      <c r="Q166" s="168">
        <f t="shared" si="115"/>
        <v>0</v>
      </c>
      <c r="R166" s="168">
        <f t="shared" si="115"/>
        <v>0</v>
      </c>
      <c r="S166" s="168">
        <f t="shared" si="115"/>
        <v>0</v>
      </c>
      <c r="T166" s="168">
        <f t="shared" si="115"/>
        <v>0</v>
      </c>
      <c r="U166" s="168">
        <f t="shared" si="115"/>
        <v>0</v>
      </c>
      <c r="V166" s="168">
        <f t="shared" si="115"/>
        <v>0</v>
      </c>
      <c r="W166" s="168">
        <f t="shared" si="116"/>
        <v>0</v>
      </c>
      <c r="X166" s="168">
        <f t="shared" si="116"/>
        <v>0</v>
      </c>
      <c r="Y166" s="168">
        <f t="shared" si="116"/>
        <v>0</v>
      </c>
      <c r="Z166" s="168">
        <f t="shared" si="116"/>
        <v>0</v>
      </c>
      <c r="AA166" s="168">
        <f t="shared" si="116"/>
        <v>0</v>
      </c>
      <c r="AB166" s="168">
        <f t="shared" si="116"/>
        <v>0</v>
      </c>
      <c r="AC166" s="168">
        <f t="shared" si="116"/>
        <v>0</v>
      </c>
      <c r="AD166" s="168">
        <f t="shared" si="116"/>
        <v>0</v>
      </c>
      <c r="AE166" s="168">
        <f t="shared" si="116"/>
        <v>0</v>
      </c>
      <c r="AF166" s="168">
        <f t="shared" si="116"/>
        <v>0</v>
      </c>
      <c r="AG166" s="168">
        <f t="shared" si="117"/>
        <v>0</v>
      </c>
      <c r="AH166" s="168">
        <f t="shared" si="117"/>
        <v>0</v>
      </c>
      <c r="AI166" s="168">
        <f t="shared" si="117"/>
        <v>127911</v>
      </c>
      <c r="AJ166" s="168">
        <f t="shared" si="117"/>
        <v>0</v>
      </c>
      <c r="AK166" s="168">
        <f t="shared" si="117"/>
        <v>0</v>
      </c>
      <c r="AL166" s="168">
        <f t="shared" si="117"/>
        <v>0</v>
      </c>
      <c r="AM166" s="168">
        <f t="shared" si="117"/>
        <v>0</v>
      </c>
      <c r="AN166" s="168">
        <f t="shared" si="117"/>
        <v>0</v>
      </c>
      <c r="AO166" s="168">
        <f t="shared" si="117"/>
        <v>0</v>
      </c>
      <c r="AP166" s="168">
        <f t="shared" si="117"/>
        <v>0</v>
      </c>
      <c r="AQ166" s="170"/>
      <c r="AR166" s="171">
        <f t="shared" si="118"/>
        <v>127911.0001</v>
      </c>
      <c r="AT166" s="166">
        <f t="shared" si="119"/>
        <v>2012</v>
      </c>
      <c r="AU166" s="166">
        <f t="shared" si="120"/>
        <v>0</v>
      </c>
      <c r="AV166" s="166">
        <v>100</v>
      </c>
      <c r="AW166" s="241">
        <f t="shared" si="121"/>
        <v>0</v>
      </c>
      <c r="AX166" s="166">
        <f t="shared" si="122"/>
        <v>0</v>
      </c>
      <c r="AY166" s="166">
        <f t="shared" si="123"/>
        <v>0</v>
      </c>
      <c r="AZ166" s="242">
        <f t="shared" si="124"/>
        <v>0</v>
      </c>
      <c r="BA166" s="234">
        <f t="shared" si="104"/>
        <v>0</v>
      </c>
      <c r="BB166" s="235">
        <f t="shared" si="105"/>
        <v>0</v>
      </c>
      <c r="BC166" s="235">
        <f t="shared" si="106"/>
        <v>0</v>
      </c>
      <c r="BD166" s="236">
        <f t="shared" si="107"/>
        <v>1</v>
      </c>
    </row>
    <row r="167" spans="1:56" s="163" customFormat="1" ht="16.25" customHeight="1">
      <c r="A167" s="163" t="s">
        <v>233</v>
      </c>
      <c r="B167" s="163" t="s">
        <v>407</v>
      </c>
      <c r="C167" s="163" t="s">
        <v>8</v>
      </c>
      <c r="D167" s="176">
        <v>4718</v>
      </c>
      <c r="E167" s="177">
        <f t="shared" si="125"/>
        <v>2019</v>
      </c>
      <c r="F167" s="203">
        <f t="shared" si="126"/>
        <v>94360</v>
      </c>
      <c r="G167" s="167"/>
      <c r="H167" s="206">
        <f t="shared" si="114"/>
        <v>97662.599999999991</v>
      </c>
      <c r="I167" s="166">
        <v>2012</v>
      </c>
      <c r="J167" s="226">
        <v>1</v>
      </c>
      <c r="K167" s="177">
        <f t="shared" si="127"/>
        <v>30</v>
      </c>
      <c r="L167" s="169"/>
      <c r="M167" s="168">
        <f t="shared" si="115"/>
        <v>0</v>
      </c>
      <c r="N167" s="168">
        <f t="shared" si="115"/>
        <v>0</v>
      </c>
      <c r="O167" s="168">
        <f t="shared" si="115"/>
        <v>0</v>
      </c>
      <c r="P167" s="168">
        <f t="shared" si="115"/>
        <v>0</v>
      </c>
      <c r="Q167" s="168">
        <f t="shared" si="115"/>
        <v>0</v>
      </c>
      <c r="R167" s="168">
        <f t="shared" si="115"/>
        <v>0</v>
      </c>
      <c r="S167" s="168">
        <f t="shared" si="115"/>
        <v>0</v>
      </c>
      <c r="T167" s="168">
        <f t="shared" si="115"/>
        <v>0</v>
      </c>
      <c r="U167" s="168">
        <f t="shared" si="115"/>
        <v>0</v>
      </c>
      <c r="V167" s="168">
        <f t="shared" si="115"/>
        <v>0</v>
      </c>
      <c r="W167" s="168">
        <f t="shared" si="116"/>
        <v>0</v>
      </c>
      <c r="X167" s="168">
        <f t="shared" si="116"/>
        <v>0</v>
      </c>
      <c r="Y167" s="168">
        <f t="shared" si="116"/>
        <v>0</v>
      </c>
      <c r="Z167" s="168">
        <f t="shared" si="116"/>
        <v>0</v>
      </c>
      <c r="AA167" s="168">
        <f t="shared" si="116"/>
        <v>0</v>
      </c>
      <c r="AB167" s="168">
        <f t="shared" si="116"/>
        <v>0</v>
      </c>
      <c r="AC167" s="168">
        <f t="shared" si="116"/>
        <v>0</v>
      </c>
      <c r="AD167" s="168">
        <f t="shared" si="116"/>
        <v>0</v>
      </c>
      <c r="AE167" s="168">
        <f t="shared" si="116"/>
        <v>0</v>
      </c>
      <c r="AF167" s="168">
        <f t="shared" si="116"/>
        <v>0</v>
      </c>
      <c r="AG167" s="168">
        <f t="shared" si="117"/>
        <v>0</v>
      </c>
      <c r="AH167" s="168">
        <f t="shared" si="117"/>
        <v>0</v>
      </c>
      <c r="AI167" s="168">
        <f t="shared" si="117"/>
        <v>0</v>
      </c>
      <c r="AJ167" s="168">
        <f t="shared" si="117"/>
        <v>215455</v>
      </c>
      <c r="AK167" s="168">
        <f t="shared" si="117"/>
        <v>0</v>
      </c>
      <c r="AL167" s="168">
        <f t="shared" si="117"/>
        <v>0</v>
      </c>
      <c r="AM167" s="168">
        <f t="shared" si="117"/>
        <v>0</v>
      </c>
      <c r="AN167" s="168">
        <f t="shared" si="117"/>
        <v>0</v>
      </c>
      <c r="AO167" s="168">
        <f t="shared" si="117"/>
        <v>0</v>
      </c>
      <c r="AP167" s="168">
        <f t="shared" si="117"/>
        <v>0</v>
      </c>
      <c r="AQ167" s="170"/>
      <c r="AR167" s="171">
        <f t="shared" si="118"/>
        <v>215455.0001</v>
      </c>
      <c r="AT167" s="166">
        <f t="shared" si="119"/>
        <v>2012</v>
      </c>
      <c r="AU167" s="166">
        <f t="shared" si="120"/>
        <v>1</v>
      </c>
      <c r="AV167" s="166">
        <v>100</v>
      </c>
      <c r="AW167" s="241">
        <f t="shared" si="121"/>
        <v>0</v>
      </c>
      <c r="AX167" s="166">
        <f t="shared" si="122"/>
        <v>0</v>
      </c>
      <c r="AY167" s="166">
        <f t="shared" si="123"/>
        <v>0</v>
      </c>
      <c r="AZ167" s="242">
        <f t="shared" si="124"/>
        <v>0</v>
      </c>
      <c r="BA167" s="234">
        <f t="shared" si="104"/>
        <v>0</v>
      </c>
      <c r="BB167" s="235">
        <f t="shared" si="105"/>
        <v>0</v>
      </c>
      <c r="BC167" s="235">
        <f t="shared" si="106"/>
        <v>0</v>
      </c>
      <c r="BD167" s="236">
        <f t="shared" si="107"/>
        <v>1</v>
      </c>
    </row>
    <row r="168" spans="1:56" s="163" customFormat="1" ht="16.25" customHeight="1">
      <c r="A168" s="163" t="s">
        <v>233</v>
      </c>
      <c r="B168" s="163" t="s">
        <v>407</v>
      </c>
      <c r="C168" s="163" t="s">
        <v>323</v>
      </c>
      <c r="D168" s="176">
        <v>5095</v>
      </c>
      <c r="E168" s="177">
        <f t="shared" si="125"/>
        <v>2019</v>
      </c>
      <c r="F168" s="203">
        <f t="shared" si="126"/>
        <v>101900</v>
      </c>
      <c r="G168" s="167">
        <v>0</v>
      </c>
      <c r="H168" s="206">
        <f t="shared" si="114"/>
        <v>105466.49999999999</v>
      </c>
      <c r="I168" s="166">
        <v>2012</v>
      </c>
      <c r="J168" s="166">
        <v>0</v>
      </c>
      <c r="K168" s="177">
        <f t="shared" si="127"/>
        <v>30</v>
      </c>
      <c r="L168" s="169" t="s">
        <v>444</v>
      </c>
      <c r="M168" s="168">
        <f t="shared" si="115"/>
        <v>0</v>
      </c>
      <c r="N168" s="168">
        <f t="shared" si="115"/>
        <v>0</v>
      </c>
      <c r="O168" s="168">
        <f t="shared" si="115"/>
        <v>0</v>
      </c>
      <c r="P168" s="168">
        <f t="shared" si="115"/>
        <v>0</v>
      </c>
      <c r="Q168" s="168">
        <f t="shared" si="115"/>
        <v>0</v>
      </c>
      <c r="R168" s="168">
        <f t="shared" si="115"/>
        <v>0</v>
      </c>
      <c r="S168" s="168">
        <f t="shared" si="115"/>
        <v>0</v>
      </c>
      <c r="T168" s="168">
        <f t="shared" si="115"/>
        <v>0</v>
      </c>
      <c r="U168" s="168">
        <f t="shared" si="115"/>
        <v>0</v>
      </c>
      <c r="V168" s="168">
        <f t="shared" si="115"/>
        <v>0</v>
      </c>
      <c r="W168" s="168">
        <f t="shared" si="116"/>
        <v>0</v>
      </c>
      <c r="X168" s="168">
        <f t="shared" si="116"/>
        <v>0</v>
      </c>
      <c r="Y168" s="168">
        <f t="shared" si="116"/>
        <v>0</v>
      </c>
      <c r="Z168" s="168">
        <f t="shared" si="116"/>
        <v>0</v>
      </c>
      <c r="AA168" s="168">
        <f t="shared" si="116"/>
        <v>0</v>
      </c>
      <c r="AB168" s="168">
        <f t="shared" si="116"/>
        <v>0</v>
      </c>
      <c r="AC168" s="168">
        <f t="shared" si="116"/>
        <v>0</v>
      </c>
      <c r="AD168" s="168">
        <f t="shared" si="116"/>
        <v>0</v>
      </c>
      <c r="AE168" s="168">
        <f t="shared" si="116"/>
        <v>0</v>
      </c>
      <c r="AF168" s="168">
        <f t="shared" si="116"/>
        <v>0</v>
      </c>
      <c r="AG168" s="168">
        <f t="shared" si="117"/>
        <v>0</v>
      </c>
      <c r="AH168" s="168">
        <f t="shared" si="117"/>
        <v>0</v>
      </c>
      <c r="AI168" s="168">
        <f t="shared" si="117"/>
        <v>224803</v>
      </c>
      <c r="AJ168" s="168">
        <f t="shared" si="117"/>
        <v>0</v>
      </c>
      <c r="AK168" s="168">
        <f t="shared" si="117"/>
        <v>0</v>
      </c>
      <c r="AL168" s="168">
        <f t="shared" si="117"/>
        <v>0</v>
      </c>
      <c r="AM168" s="168">
        <f t="shared" si="117"/>
        <v>0</v>
      </c>
      <c r="AN168" s="168">
        <f t="shared" si="117"/>
        <v>0</v>
      </c>
      <c r="AO168" s="168">
        <f t="shared" si="117"/>
        <v>0</v>
      </c>
      <c r="AP168" s="168">
        <f t="shared" si="117"/>
        <v>0</v>
      </c>
      <c r="AQ168" s="170"/>
      <c r="AR168" s="171">
        <f t="shared" si="118"/>
        <v>224803.0001</v>
      </c>
      <c r="AT168" s="166">
        <f t="shared" si="119"/>
        <v>2012</v>
      </c>
      <c r="AU168" s="166">
        <f t="shared" si="120"/>
        <v>0</v>
      </c>
      <c r="AV168" s="166">
        <v>100</v>
      </c>
      <c r="AW168" s="241">
        <f t="shared" si="121"/>
        <v>0</v>
      </c>
      <c r="AX168" s="166">
        <f t="shared" si="122"/>
        <v>0</v>
      </c>
      <c r="AY168" s="166">
        <f t="shared" si="123"/>
        <v>1</v>
      </c>
      <c r="AZ168" s="242">
        <f t="shared" si="124"/>
        <v>0</v>
      </c>
      <c r="BA168" s="234">
        <f t="shared" si="104"/>
        <v>0</v>
      </c>
      <c r="BB168" s="235">
        <f t="shared" si="105"/>
        <v>0</v>
      </c>
      <c r="BC168" s="235">
        <f t="shared" si="106"/>
        <v>0</v>
      </c>
      <c r="BD168" s="236">
        <f t="shared" si="107"/>
        <v>1</v>
      </c>
    </row>
    <row r="169" spans="1:56" s="163" customFormat="1" ht="16.25" customHeight="1">
      <c r="A169" s="163" t="s">
        <v>233</v>
      </c>
      <c r="B169" s="163" t="s">
        <v>407</v>
      </c>
      <c r="C169" s="163" t="s">
        <v>6</v>
      </c>
      <c r="D169" s="176">
        <v>2767</v>
      </c>
      <c r="E169" s="177">
        <f t="shared" si="125"/>
        <v>2019</v>
      </c>
      <c r="F169" s="203">
        <f t="shared" si="126"/>
        <v>55340</v>
      </c>
      <c r="G169" s="167">
        <v>0</v>
      </c>
      <c r="H169" s="206">
        <f t="shared" si="114"/>
        <v>57276.899999999994</v>
      </c>
      <c r="I169" s="166">
        <v>1995</v>
      </c>
      <c r="J169" s="226">
        <v>-5</v>
      </c>
      <c r="K169" s="177">
        <f t="shared" si="127"/>
        <v>30</v>
      </c>
      <c r="L169" s="169"/>
      <c r="M169" s="168">
        <f t="shared" ref="M169:V176" si="128">ROUND($H169*IF(AND(M$1&gt;=($I169+$J169),MOD(M$1-($I169+$J169),$K169)=0),(1+InflationRate)^(M$1-AnalysisYear),0),0)*IF(AND(M$1&gt;=($AT169+$AU169),(M$1-($AT169+$AU169))&lt;&gt;0,MOD(M$1-($AT169+$AU169),$AV169)=0),0,1)</f>
        <v>57277</v>
      </c>
      <c r="N169" s="168">
        <f t="shared" si="128"/>
        <v>0</v>
      </c>
      <c r="O169" s="168">
        <f t="shared" si="128"/>
        <v>0</v>
      </c>
      <c r="P169" s="168">
        <f t="shared" si="128"/>
        <v>0</v>
      </c>
      <c r="Q169" s="168">
        <f t="shared" si="128"/>
        <v>0</v>
      </c>
      <c r="R169" s="168">
        <f t="shared" si="128"/>
        <v>0</v>
      </c>
      <c r="S169" s="168">
        <f t="shared" si="128"/>
        <v>0</v>
      </c>
      <c r="T169" s="168">
        <f t="shared" si="128"/>
        <v>0</v>
      </c>
      <c r="U169" s="168">
        <f t="shared" si="128"/>
        <v>0</v>
      </c>
      <c r="V169" s="168">
        <f t="shared" si="128"/>
        <v>0</v>
      </c>
      <c r="W169" s="168">
        <f t="shared" ref="W169:AF176" si="129">ROUND($H169*IF(AND(W$1&gt;=($I169+$J169),MOD(W$1-($I169+$J169),$K169)=0),(1+InflationRate)^(W$1-AnalysisYear),0),0)*IF(AND(W$1&gt;=($AT169+$AU169),(W$1-($AT169+$AU169))&lt;&gt;0,MOD(W$1-($AT169+$AU169),$AV169)=0),0,1)</f>
        <v>0</v>
      </c>
      <c r="X169" s="168">
        <f t="shared" si="129"/>
        <v>0</v>
      </c>
      <c r="Y169" s="168">
        <f t="shared" si="129"/>
        <v>0</v>
      </c>
      <c r="Z169" s="168">
        <f t="shared" si="129"/>
        <v>0</v>
      </c>
      <c r="AA169" s="168">
        <f t="shared" si="129"/>
        <v>0</v>
      </c>
      <c r="AB169" s="168">
        <f t="shared" si="129"/>
        <v>0</v>
      </c>
      <c r="AC169" s="168">
        <f t="shared" si="129"/>
        <v>0</v>
      </c>
      <c r="AD169" s="168">
        <f t="shared" si="129"/>
        <v>0</v>
      </c>
      <c r="AE169" s="168">
        <f t="shared" si="129"/>
        <v>0</v>
      </c>
      <c r="AF169" s="168">
        <f t="shared" si="129"/>
        <v>0</v>
      </c>
      <c r="AG169" s="168">
        <f t="shared" ref="AG169:AP176" si="130">ROUND($H169*IF(AND(AG$1&gt;=($I169+$J169),MOD(AG$1-($I169+$J169),$K169)=0),(1+InflationRate)^(AG$1-AnalysisYear),0),0)*IF(AND(AG$1&gt;=($AT169+$AU169),(AG$1-($AT169+$AU169))&lt;&gt;0,MOD(AG$1-($AT169+$AU169),$AV169)=0),0,1)</f>
        <v>0</v>
      </c>
      <c r="AH169" s="168">
        <f t="shared" si="130"/>
        <v>0</v>
      </c>
      <c r="AI169" s="168">
        <f t="shared" si="130"/>
        <v>0</v>
      </c>
      <c r="AJ169" s="168">
        <f t="shared" si="130"/>
        <v>0</v>
      </c>
      <c r="AK169" s="168">
        <f t="shared" si="130"/>
        <v>0</v>
      </c>
      <c r="AL169" s="168">
        <f t="shared" si="130"/>
        <v>0</v>
      </c>
      <c r="AM169" s="168">
        <f t="shared" si="130"/>
        <v>0</v>
      </c>
      <c r="AN169" s="168">
        <f t="shared" si="130"/>
        <v>0</v>
      </c>
      <c r="AO169" s="168">
        <f t="shared" si="130"/>
        <v>0</v>
      </c>
      <c r="AP169" s="168">
        <f t="shared" si="130"/>
        <v>0</v>
      </c>
      <c r="AQ169" s="170"/>
      <c r="AR169" s="171">
        <f t="shared" si="118"/>
        <v>57277.000099999997</v>
      </c>
      <c r="AT169" s="166">
        <f t="shared" si="119"/>
        <v>1995</v>
      </c>
      <c r="AU169" s="166">
        <f t="shared" si="120"/>
        <v>-5</v>
      </c>
      <c r="AV169" s="166">
        <v>100</v>
      </c>
      <c r="AW169" s="241">
        <f t="shared" si="121"/>
        <v>0</v>
      </c>
      <c r="AX169" s="166">
        <f t="shared" si="122"/>
        <v>0</v>
      </c>
      <c r="AY169" s="166">
        <f t="shared" si="123"/>
        <v>0</v>
      </c>
      <c r="AZ169" s="242">
        <f t="shared" si="124"/>
        <v>0</v>
      </c>
      <c r="BA169" s="234">
        <f t="shared" si="104"/>
        <v>0</v>
      </c>
      <c r="BB169" s="235">
        <f t="shared" si="105"/>
        <v>0</v>
      </c>
      <c r="BC169" s="235">
        <f t="shared" si="106"/>
        <v>0</v>
      </c>
      <c r="BD169" s="236">
        <f t="shared" si="107"/>
        <v>1</v>
      </c>
    </row>
    <row r="170" spans="1:56" s="163" customFormat="1" ht="16.25" customHeight="1">
      <c r="A170" s="163" t="s">
        <v>233</v>
      </c>
      <c r="B170" s="163" t="s">
        <v>407</v>
      </c>
      <c r="C170" s="163" t="s">
        <v>5</v>
      </c>
      <c r="D170" s="176">
        <v>7026</v>
      </c>
      <c r="E170" s="177">
        <f t="shared" si="125"/>
        <v>2019</v>
      </c>
      <c r="F170" s="203">
        <f t="shared" si="126"/>
        <v>140520</v>
      </c>
      <c r="G170" s="167">
        <v>0</v>
      </c>
      <c r="H170" s="206">
        <f t="shared" si="114"/>
        <v>145438.19999999998</v>
      </c>
      <c r="I170" s="166">
        <v>1977</v>
      </c>
      <c r="J170" s="226">
        <v>20</v>
      </c>
      <c r="K170" s="177">
        <f t="shared" si="127"/>
        <v>30</v>
      </c>
      <c r="L170" s="169"/>
      <c r="M170" s="168">
        <f t="shared" si="128"/>
        <v>0</v>
      </c>
      <c r="N170" s="168">
        <f t="shared" si="128"/>
        <v>0</v>
      </c>
      <c r="O170" s="168">
        <f t="shared" si="128"/>
        <v>0</v>
      </c>
      <c r="P170" s="168">
        <f t="shared" si="128"/>
        <v>0</v>
      </c>
      <c r="Q170" s="168">
        <f t="shared" si="128"/>
        <v>0</v>
      </c>
      <c r="R170" s="168">
        <f t="shared" si="128"/>
        <v>0</v>
      </c>
      <c r="S170" s="168">
        <f t="shared" si="128"/>
        <v>0</v>
      </c>
      <c r="T170" s="168">
        <f t="shared" si="128"/>
        <v>185038</v>
      </c>
      <c r="U170" s="168">
        <f t="shared" si="128"/>
        <v>0</v>
      </c>
      <c r="V170" s="168">
        <f t="shared" si="128"/>
        <v>0</v>
      </c>
      <c r="W170" s="168">
        <f t="shared" si="129"/>
        <v>0</v>
      </c>
      <c r="X170" s="168">
        <f t="shared" si="129"/>
        <v>0</v>
      </c>
      <c r="Y170" s="168">
        <f t="shared" si="129"/>
        <v>0</v>
      </c>
      <c r="Z170" s="168">
        <f t="shared" si="129"/>
        <v>0</v>
      </c>
      <c r="AA170" s="168">
        <f t="shared" si="129"/>
        <v>0</v>
      </c>
      <c r="AB170" s="168">
        <f t="shared" si="129"/>
        <v>0</v>
      </c>
      <c r="AC170" s="168">
        <f t="shared" si="129"/>
        <v>0</v>
      </c>
      <c r="AD170" s="168">
        <f t="shared" si="129"/>
        <v>0</v>
      </c>
      <c r="AE170" s="168">
        <f t="shared" si="129"/>
        <v>0</v>
      </c>
      <c r="AF170" s="168">
        <f t="shared" si="129"/>
        <v>0</v>
      </c>
      <c r="AG170" s="168">
        <f t="shared" si="130"/>
        <v>0</v>
      </c>
      <c r="AH170" s="168">
        <f t="shared" si="130"/>
        <v>0</v>
      </c>
      <c r="AI170" s="168">
        <f t="shared" si="130"/>
        <v>0</v>
      </c>
      <c r="AJ170" s="168">
        <f t="shared" si="130"/>
        <v>0</v>
      </c>
      <c r="AK170" s="168">
        <f t="shared" si="130"/>
        <v>0</v>
      </c>
      <c r="AL170" s="168">
        <f t="shared" si="130"/>
        <v>0</v>
      </c>
      <c r="AM170" s="168">
        <f t="shared" si="130"/>
        <v>0</v>
      </c>
      <c r="AN170" s="168">
        <f t="shared" si="130"/>
        <v>0</v>
      </c>
      <c r="AO170" s="168">
        <f t="shared" si="130"/>
        <v>0</v>
      </c>
      <c r="AP170" s="168">
        <f t="shared" si="130"/>
        <v>0</v>
      </c>
      <c r="AQ170" s="170"/>
      <c r="AR170" s="171">
        <f t="shared" si="118"/>
        <v>185038.0001</v>
      </c>
      <c r="AT170" s="166">
        <f t="shared" si="119"/>
        <v>1977</v>
      </c>
      <c r="AU170" s="166">
        <f t="shared" si="120"/>
        <v>20</v>
      </c>
      <c r="AV170" s="166">
        <v>100</v>
      </c>
      <c r="AW170" s="241">
        <f t="shared" si="121"/>
        <v>0</v>
      </c>
      <c r="AX170" s="166">
        <f t="shared" si="122"/>
        <v>0</v>
      </c>
      <c r="AY170" s="166">
        <f t="shared" si="123"/>
        <v>0</v>
      </c>
      <c r="AZ170" s="242">
        <f t="shared" si="124"/>
        <v>0</v>
      </c>
      <c r="BA170" s="234">
        <f t="shared" si="104"/>
        <v>0</v>
      </c>
      <c r="BB170" s="235">
        <f t="shared" si="105"/>
        <v>0</v>
      </c>
      <c r="BC170" s="235">
        <f t="shared" si="106"/>
        <v>0</v>
      </c>
      <c r="BD170" s="236">
        <f t="shared" si="107"/>
        <v>1</v>
      </c>
    </row>
    <row r="171" spans="1:56" s="163" customFormat="1" ht="16.25" customHeight="1">
      <c r="A171" s="163" t="s">
        <v>233</v>
      </c>
      <c r="B171" s="163" t="s">
        <v>287</v>
      </c>
      <c r="C171" s="164" t="s">
        <v>308</v>
      </c>
      <c r="D171" s="165">
        <v>1</v>
      </c>
      <c r="E171" s="177">
        <f>directionalsignscostyear</f>
        <v>2013</v>
      </c>
      <c r="F171" s="203">
        <f>D171*directionalsignsunitcost</f>
        <v>14243</v>
      </c>
      <c r="G171" s="167">
        <v>0</v>
      </c>
      <c r="H171" s="206">
        <f t="shared" si="114"/>
        <v>18121.0735395843</v>
      </c>
      <c r="I171" s="166">
        <v>2013</v>
      </c>
      <c r="J171" s="166"/>
      <c r="K171" s="177">
        <f>directionalsignslife</f>
        <v>20</v>
      </c>
      <c r="L171" s="169" t="s">
        <v>415</v>
      </c>
      <c r="M171" s="168">
        <f t="shared" si="128"/>
        <v>0</v>
      </c>
      <c r="N171" s="168">
        <f t="shared" si="128"/>
        <v>0</v>
      </c>
      <c r="O171" s="168">
        <f t="shared" si="128"/>
        <v>0</v>
      </c>
      <c r="P171" s="168">
        <f t="shared" si="128"/>
        <v>0</v>
      </c>
      <c r="Q171" s="168">
        <f t="shared" si="128"/>
        <v>0</v>
      </c>
      <c r="R171" s="168">
        <f t="shared" si="128"/>
        <v>0</v>
      </c>
      <c r="S171" s="168">
        <f t="shared" si="128"/>
        <v>0</v>
      </c>
      <c r="T171" s="168">
        <f t="shared" si="128"/>
        <v>0</v>
      </c>
      <c r="U171" s="168">
        <f t="shared" si="128"/>
        <v>0</v>
      </c>
      <c r="V171" s="168">
        <f t="shared" si="128"/>
        <v>0</v>
      </c>
      <c r="W171" s="168">
        <f t="shared" si="129"/>
        <v>0</v>
      </c>
      <c r="X171" s="168">
        <f t="shared" si="129"/>
        <v>0</v>
      </c>
      <c r="Y171" s="168">
        <f t="shared" si="129"/>
        <v>0</v>
      </c>
      <c r="Z171" s="168">
        <f t="shared" si="129"/>
        <v>28341</v>
      </c>
      <c r="AA171" s="168">
        <f t="shared" si="129"/>
        <v>0</v>
      </c>
      <c r="AB171" s="168">
        <f t="shared" si="129"/>
        <v>0</v>
      </c>
      <c r="AC171" s="168">
        <f t="shared" si="129"/>
        <v>0</v>
      </c>
      <c r="AD171" s="168">
        <f t="shared" si="129"/>
        <v>0</v>
      </c>
      <c r="AE171" s="168">
        <f t="shared" si="129"/>
        <v>0</v>
      </c>
      <c r="AF171" s="168">
        <f t="shared" si="129"/>
        <v>0</v>
      </c>
      <c r="AG171" s="168">
        <f t="shared" si="130"/>
        <v>0</v>
      </c>
      <c r="AH171" s="168">
        <f t="shared" si="130"/>
        <v>0</v>
      </c>
      <c r="AI171" s="168">
        <f t="shared" si="130"/>
        <v>0</v>
      </c>
      <c r="AJ171" s="168">
        <f t="shared" si="130"/>
        <v>0</v>
      </c>
      <c r="AK171" s="168">
        <f t="shared" si="130"/>
        <v>0</v>
      </c>
      <c r="AL171" s="168">
        <f t="shared" si="130"/>
        <v>0</v>
      </c>
      <c r="AM171" s="168">
        <f t="shared" si="130"/>
        <v>0</v>
      </c>
      <c r="AN171" s="168">
        <f t="shared" si="130"/>
        <v>0</v>
      </c>
      <c r="AO171" s="168">
        <f t="shared" si="130"/>
        <v>0</v>
      </c>
      <c r="AP171" s="168">
        <f t="shared" si="130"/>
        <v>0</v>
      </c>
      <c r="AQ171" s="170"/>
      <c r="AR171" s="171">
        <f t="shared" si="118"/>
        <v>28341.000100000001</v>
      </c>
      <c r="AT171" s="166">
        <f t="shared" si="119"/>
        <v>2013</v>
      </c>
      <c r="AU171" s="166">
        <f t="shared" si="120"/>
        <v>0</v>
      </c>
      <c r="AV171" s="166">
        <v>100</v>
      </c>
      <c r="AW171" s="241">
        <f t="shared" si="121"/>
        <v>1</v>
      </c>
      <c r="AX171" s="166">
        <f t="shared" si="122"/>
        <v>0</v>
      </c>
      <c r="AY171" s="166">
        <f t="shared" si="123"/>
        <v>0</v>
      </c>
      <c r="AZ171" s="242">
        <f t="shared" si="124"/>
        <v>0</v>
      </c>
      <c r="BA171" s="234">
        <f t="shared" si="104"/>
        <v>0</v>
      </c>
      <c r="BB171" s="235">
        <f t="shared" si="105"/>
        <v>0</v>
      </c>
      <c r="BC171" s="235">
        <f t="shared" si="106"/>
        <v>0</v>
      </c>
      <c r="BD171" s="236">
        <f t="shared" si="107"/>
        <v>1</v>
      </c>
    </row>
    <row r="172" spans="1:56" s="163" customFormat="1" ht="16.25" customHeight="1">
      <c r="A172" s="163" t="s">
        <v>233</v>
      </c>
      <c r="B172" s="163" t="s">
        <v>287</v>
      </c>
      <c r="C172" s="164" t="s">
        <v>25</v>
      </c>
      <c r="D172" s="165">
        <v>460</v>
      </c>
      <c r="E172" s="177">
        <f>fencegardencostyear</f>
        <v>2019</v>
      </c>
      <c r="F172" s="203">
        <f>D172*fencegardenunitcost</f>
        <v>30001.200000000001</v>
      </c>
      <c r="G172" s="167">
        <v>0</v>
      </c>
      <c r="H172" s="206">
        <f t="shared" si="114"/>
        <v>31051.241999999998</v>
      </c>
      <c r="I172" s="166">
        <v>2015</v>
      </c>
      <c r="J172" s="166">
        <v>0</v>
      </c>
      <c r="K172" s="177">
        <f>fencegardenlife</f>
        <v>20</v>
      </c>
      <c r="L172" s="169" t="s">
        <v>414</v>
      </c>
      <c r="M172" s="168">
        <f t="shared" si="128"/>
        <v>0</v>
      </c>
      <c r="N172" s="168">
        <f t="shared" si="128"/>
        <v>0</v>
      </c>
      <c r="O172" s="168">
        <f t="shared" si="128"/>
        <v>0</v>
      </c>
      <c r="P172" s="168">
        <f t="shared" si="128"/>
        <v>0</v>
      </c>
      <c r="Q172" s="168">
        <f t="shared" si="128"/>
        <v>0</v>
      </c>
      <c r="R172" s="168">
        <f t="shared" si="128"/>
        <v>0</v>
      </c>
      <c r="S172" s="168">
        <f t="shared" si="128"/>
        <v>0</v>
      </c>
      <c r="T172" s="168">
        <f t="shared" si="128"/>
        <v>0</v>
      </c>
      <c r="U172" s="168">
        <f t="shared" si="128"/>
        <v>0</v>
      </c>
      <c r="V172" s="168">
        <f t="shared" si="128"/>
        <v>0</v>
      </c>
      <c r="W172" s="168">
        <f t="shared" si="129"/>
        <v>0</v>
      </c>
      <c r="X172" s="168">
        <f t="shared" si="129"/>
        <v>0</v>
      </c>
      <c r="Y172" s="168">
        <f t="shared" si="129"/>
        <v>0</v>
      </c>
      <c r="Z172" s="168">
        <f t="shared" si="129"/>
        <v>0</v>
      </c>
      <c r="AA172" s="168">
        <f t="shared" si="129"/>
        <v>0</v>
      </c>
      <c r="AB172" s="168">
        <f t="shared" si="129"/>
        <v>52022</v>
      </c>
      <c r="AC172" s="168">
        <f t="shared" si="129"/>
        <v>0</v>
      </c>
      <c r="AD172" s="168">
        <f t="shared" si="129"/>
        <v>0</v>
      </c>
      <c r="AE172" s="168">
        <f t="shared" si="129"/>
        <v>0</v>
      </c>
      <c r="AF172" s="168">
        <f t="shared" si="129"/>
        <v>0</v>
      </c>
      <c r="AG172" s="168">
        <f t="shared" si="130"/>
        <v>0</v>
      </c>
      <c r="AH172" s="168">
        <f t="shared" si="130"/>
        <v>0</v>
      </c>
      <c r="AI172" s="168">
        <f t="shared" si="130"/>
        <v>0</v>
      </c>
      <c r="AJ172" s="168">
        <f t="shared" si="130"/>
        <v>0</v>
      </c>
      <c r="AK172" s="168">
        <f t="shared" si="130"/>
        <v>0</v>
      </c>
      <c r="AL172" s="168">
        <f t="shared" si="130"/>
        <v>0</v>
      </c>
      <c r="AM172" s="168">
        <f t="shared" si="130"/>
        <v>0</v>
      </c>
      <c r="AN172" s="168">
        <f t="shared" si="130"/>
        <v>0</v>
      </c>
      <c r="AO172" s="168">
        <f t="shared" si="130"/>
        <v>0</v>
      </c>
      <c r="AP172" s="168">
        <f t="shared" si="130"/>
        <v>0</v>
      </c>
      <c r="AQ172" s="170"/>
      <c r="AR172" s="171">
        <f t="shared" si="118"/>
        <v>52022.000099999997</v>
      </c>
      <c r="AT172" s="166">
        <f t="shared" si="119"/>
        <v>2015</v>
      </c>
      <c r="AU172" s="166">
        <f t="shared" si="120"/>
        <v>0</v>
      </c>
      <c r="AV172" s="166">
        <v>100</v>
      </c>
      <c r="AW172" s="241">
        <f t="shared" si="121"/>
        <v>0</v>
      </c>
      <c r="AX172" s="166">
        <f t="shared" si="122"/>
        <v>1</v>
      </c>
      <c r="AY172" s="166">
        <f t="shared" si="123"/>
        <v>0</v>
      </c>
      <c r="AZ172" s="242">
        <f t="shared" si="124"/>
        <v>0</v>
      </c>
      <c r="BA172" s="234">
        <f t="shared" si="104"/>
        <v>0</v>
      </c>
      <c r="BB172" s="235">
        <f t="shared" si="105"/>
        <v>0</v>
      </c>
      <c r="BC172" s="235">
        <f t="shared" si="106"/>
        <v>0</v>
      </c>
      <c r="BD172" s="236">
        <f t="shared" si="107"/>
        <v>1</v>
      </c>
    </row>
    <row r="173" spans="1:56" s="163" customFormat="1" ht="16.25" customHeight="1">
      <c r="A173" s="163" t="s">
        <v>233</v>
      </c>
      <c r="B173" s="163" t="s">
        <v>287</v>
      </c>
      <c r="C173" s="164" t="s">
        <v>315</v>
      </c>
      <c r="D173" s="165">
        <v>1</v>
      </c>
      <c r="E173" s="177">
        <f>RVLotFenceCostYear</f>
        <v>2018</v>
      </c>
      <c r="F173" s="203">
        <f>D173*RVLotFenceUnitCOst</f>
        <v>30000</v>
      </c>
      <c r="G173" s="167">
        <v>0</v>
      </c>
      <c r="H173" s="206">
        <f t="shared" si="114"/>
        <v>32136.749999999996</v>
      </c>
      <c r="I173" s="166">
        <v>2000</v>
      </c>
      <c r="J173" s="166">
        <v>2</v>
      </c>
      <c r="K173" s="177">
        <f>RVLotFenceLIfe</f>
        <v>25</v>
      </c>
      <c r="L173" s="169"/>
      <c r="M173" s="168">
        <f t="shared" si="128"/>
        <v>0</v>
      </c>
      <c r="N173" s="168">
        <f t="shared" si="128"/>
        <v>0</v>
      </c>
      <c r="O173" s="168">
        <f t="shared" si="128"/>
        <v>0</v>
      </c>
      <c r="P173" s="168">
        <f t="shared" si="128"/>
        <v>0</v>
      </c>
      <c r="Q173" s="168">
        <f t="shared" si="128"/>
        <v>0</v>
      </c>
      <c r="R173" s="168">
        <f t="shared" si="128"/>
        <v>0</v>
      </c>
      <c r="S173" s="168">
        <f t="shared" si="128"/>
        <v>0</v>
      </c>
      <c r="T173" s="168">
        <f t="shared" si="128"/>
        <v>40887</v>
      </c>
      <c r="U173" s="168">
        <f t="shared" si="128"/>
        <v>0</v>
      </c>
      <c r="V173" s="168">
        <f t="shared" si="128"/>
        <v>0</v>
      </c>
      <c r="W173" s="168">
        <f t="shared" si="129"/>
        <v>0</v>
      </c>
      <c r="X173" s="168">
        <f t="shared" si="129"/>
        <v>0</v>
      </c>
      <c r="Y173" s="168">
        <f t="shared" si="129"/>
        <v>0</v>
      </c>
      <c r="Z173" s="168">
        <f t="shared" si="129"/>
        <v>0</v>
      </c>
      <c r="AA173" s="168">
        <f t="shared" si="129"/>
        <v>0</v>
      </c>
      <c r="AB173" s="168">
        <f t="shared" si="129"/>
        <v>0</v>
      </c>
      <c r="AC173" s="168">
        <f t="shared" si="129"/>
        <v>0</v>
      </c>
      <c r="AD173" s="168">
        <f t="shared" si="129"/>
        <v>0</v>
      </c>
      <c r="AE173" s="168">
        <f t="shared" si="129"/>
        <v>0</v>
      </c>
      <c r="AF173" s="168">
        <f t="shared" si="129"/>
        <v>0</v>
      </c>
      <c r="AG173" s="168">
        <f t="shared" si="130"/>
        <v>0</v>
      </c>
      <c r="AH173" s="168">
        <f t="shared" si="130"/>
        <v>0</v>
      </c>
      <c r="AI173" s="168">
        <f t="shared" si="130"/>
        <v>0</v>
      </c>
      <c r="AJ173" s="168">
        <f t="shared" si="130"/>
        <v>0</v>
      </c>
      <c r="AK173" s="168">
        <f t="shared" si="130"/>
        <v>0</v>
      </c>
      <c r="AL173" s="168">
        <f t="shared" si="130"/>
        <v>0</v>
      </c>
      <c r="AM173" s="168">
        <f t="shared" si="130"/>
        <v>0</v>
      </c>
      <c r="AN173" s="168">
        <f t="shared" si="130"/>
        <v>0</v>
      </c>
      <c r="AO173" s="168">
        <f t="shared" si="130"/>
        <v>0</v>
      </c>
      <c r="AP173" s="168">
        <f t="shared" si="130"/>
        <v>0</v>
      </c>
      <c r="AQ173" s="170"/>
      <c r="AR173" s="171">
        <f t="shared" si="118"/>
        <v>40887.000099999997</v>
      </c>
      <c r="AT173" s="166">
        <f t="shared" si="119"/>
        <v>2000</v>
      </c>
      <c r="AU173" s="166">
        <f t="shared" si="120"/>
        <v>2</v>
      </c>
      <c r="AV173" s="166">
        <v>100</v>
      </c>
      <c r="AW173" s="241">
        <f t="shared" si="121"/>
        <v>0</v>
      </c>
      <c r="AX173" s="166">
        <f t="shared" si="122"/>
        <v>0</v>
      </c>
      <c r="AY173" s="166">
        <f t="shared" si="123"/>
        <v>0</v>
      </c>
      <c r="AZ173" s="242">
        <f t="shared" si="124"/>
        <v>0</v>
      </c>
      <c r="BA173" s="234">
        <f t="shared" si="104"/>
        <v>0</v>
      </c>
      <c r="BB173" s="235">
        <f t="shared" si="105"/>
        <v>0</v>
      </c>
      <c r="BC173" s="235">
        <f t="shared" si="106"/>
        <v>0</v>
      </c>
      <c r="BD173" s="236">
        <f t="shared" si="107"/>
        <v>1</v>
      </c>
    </row>
    <row r="174" spans="1:56" s="163" customFormat="1">
      <c r="A174" s="163" t="s">
        <v>233</v>
      </c>
      <c r="B174" s="163" t="s">
        <v>287</v>
      </c>
      <c r="C174" s="164" t="s">
        <v>284</v>
      </c>
      <c r="D174" s="165">
        <v>1</v>
      </c>
      <c r="E174" s="177">
        <f>TennisCourtResurfaceCostYear</f>
        <v>2019</v>
      </c>
      <c r="F174" s="203">
        <f>TennisCourtResurfaceUnitCost*D174</f>
        <v>14000</v>
      </c>
      <c r="G174" s="167">
        <v>0</v>
      </c>
      <c r="H174" s="206">
        <f t="shared" si="114"/>
        <v>14489.999999999998</v>
      </c>
      <c r="I174" s="166">
        <v>2017</v>
      </c>
      <c r="J174" s="166"/>
      <c r="K174" s="177">
        <f>TennisCourtResurfaceLife</f>
        <v>8</v>
      </c>
      <c r="L174" s="169" t="s">
        <v>414</v>
      </c>
      <c r="M174" s="168">
        <f t="shared" si="128"/>
        <v>0</v>
      </c>
      <c r="N174" s="168">
        <f t="shared" si="128"/>
        <v>0</v>
      </c>
      <c r="O174" s="168">
        <f t="shared" si="128"/>
        <v>0</v>
      </c>
      <c r="P174" s="168">
        <f t="shared" si="128"/>
        <v>0</v>
      </c>
      <c r="Q174" s="168">
        <f t="shared" si="128"/>
        <v>0</v>
      </c>
      <c r="R174" s="168">
        <f t="shared" si="128"/>
        <v>17210</v>
      </c>
      <c r="S174" s="168">
        <f t="shared" si="128"/>
        <v>0</v>
      </c>
      <c r="T174" s="168">
        <f t="shared" si="128"/>
        <v>0</v>
      </c>
      <c r="U174" s="168">
        <f t="shared" si="128"/>
        <v>0</v>
      </c>
      <c r="V174" s="168">
        <f t="shared" si="128"/>
        <v>0</v>
      </c>
      <c r="W174" s="168">
        <f t="shared" si="129"/>
        <v>0</v>
      </c>
      <c r="X174" s="168">
        <f t="shared" si="129"/>
        <v>0</v>
      </c>
      <c r="Y174" s="168">
        <f t="shared" si="129"/>
        <v>0</v>
      </c>
      <c r="Z174" s="168">
        <f t="shared" si="129"/>
        <v>22662</v>
      </c>
      <c r="AA174" s="168">
        <f t="shared" si="129"/>
        <v>0</v>
      </c>
      <c r="AB174" s="168">
        <f t="shared" si="129"/>
        <v>0</v>
      </c>
      <c r="AC174" s="168">
        <f t="shared" si="129"/>
        <v>0</v>
      </c>
      <c r="AD174" s="168">
        <f t="shared" si="129"/>
        <v>0</v>
      </c>
      <c r="AE174" s="168">
        <f t="shared" si="129"/>
        <v>0</v>
      </c>
      <c r="AF174" s="168">
        <f t="shared" si="129"/>
        <v>0</v>
      </c>
      <c r="AG174" s="168">
        <f t="shared" si="130"/>
        <v>0</v>
      </c>
      <c r="AH174" s="168">
        <f t="shared" si="130"/>
        <v>29841</v>
      </c>
      <c r="AI174" s="168">
        <f t="shared" si="130"/>
        <v>0</v>
      </c>
      <c r="AJ174" s="168">
        <f t="shared" si="130"/>
        <v>0</v>
      </c>
      <c r="AK174" s="168">
        <f t="shared" si="130"/>
        <v>0</v>
      </c>
      <c r="AL174" s="168">
        <f t="shared" si="130"/>
        <v>0</v>
      </c>
      <c r="AM174" s="168">
        <f t="shared" si="130"/>
        <v>0</v>
      </c>
      <c r="AN174" s="168">
        <f t="shared" si="130"/>
        <v>0</v>
      </c>
      <c r="AO174" s="168">
        <f t="shared" si="130"/>
        <v>0</v>
      </c>
      <c r="AP174" s="168">
        <f t="shared" si="130"/>
        <v>39295</v>
      </c>
      <c r="AQ174" s="170"/>
      <c r="AR174" s="171">
        <f t="shared" si="118"/>
        <v>109008.0001</v>
      </c>
      <c r="AT174" s="166">
        <f t="shared" si="119"/>
        <v>2017</v>
      </c>
      <c r="AU174" s="166">
        <f t="shared" si="120"/>
        <v>0</v>
      </c>
      <c r="AV174" s="166">
        <v>100</v>
      </c>
      <c r="AW174" s="241">
        <f t="shared" si="121"/>
        <v>0</v>
      </c>
      <c r="AX174" s="166">
        <f t="shared" si="122"/>
        <v>1</v>
      </c>
      <c r="AY174" s="166">
        <f t="shared" si="123"/>
        <v>0</v>
      </c>
      <c r="AZ174" s="242">
        <f t="shared" si="124"/>
        <v>0</v>
      </c>
      <c r="BA174" s="234">
        <f t="shared" si="104"/>
        <v>0</v>
      </c>
      <c r="BB174" s="235">
        <f t="shared" si="105"/>
        <v>0</v>
      </c>
      <c r="BC174" s="235">
        <f t="shared" si="106"/>
        <v>0</v>
      </c>
      <c r="BD174" s="236">
        <f t="shared" si="107"/>
        <v>1</v>
      </c>
    </row>
    <row r="175" spans="1:56" s="163" customFormat="1" ht="16.25" customHeight="1">
      <c r="A175" s="163" t="s">
        <v>233</v>
      </c>
      <c r="B175" s="163" t="s">
        <v>290</v>
      </c>
      <c r="C175" s="164" t="s">
        <v>22</v>
      </c>
      <c r="D175" s="165">
        <v>415</v>
      </c>
      <c r="E175" s="177">
        <f>fenceshopcostyear</f>
        <v>2019</v>
      </c>
      <c r="F175" s="203">
        <f>D175*fenceshopunitcost</f>
        <v>41998</v>
      </c>
      <c r="G175" s="167">
        <v>0</v>
      </c>
      <c r="H175" s="206">
        <f t="shared" si="114"/>
        <v>43467.929999999993</v>
      </c>
      <c r="I175" s="166">
        <v>2010</v>
      </c>
      <c r="J175" s="166">
        <v>0</v>
      </c>
      <c r="K175" s="177">
        <f>fenceshoplife</f>
        <v>20</v>
      </c>
      <c r="L175" s="169"/>
      <c r="M175" s="168">
        <f t="shared" si="128"/>
        <v>0</v>
      </c>
      <c r="N175" s="168">
        <f t="shared" si="128"/>
        <v>0</v>
      </c>
      <c r="O175" s="168">
        <f t="shared" si="128"/>
        <v>0</v>
      </c>
      <c r="P175" s="168">
        <f t="shared" si="128"/>
        <v>0</v>
      </c>
      <c r="Q175" s="168">
        <f t="shared" si="128"/>
        <v>0</v>
      </c>
      <c r="R175" s="168">
        <f t="shared" si="128"/>
        <v>0</v>
      </c>
      <c r="S175" s="168">
        <f t="shared" si="128"/>
        <v>0</v>
      </c>
      <c r="T175" s="168">
        <f t="shared" si="128"/>
        <v>0</v>
      </c>
      <c r="U175" s="168">
        <f t="shared" si="128"/>
        <v>0</v>
      </c>
      <c r="V175" s="168">
        <f t="shared" si="128"/>
        <v>0</v>
      </c>
      <c r="W175" s="168">
        <f t="shared" si="129"/>
        <v>61316</v>
      </c>
      <c r="X175" s="168">
        <f t="shared" si="129"/>
        <v>0</v>
      </c>
      <c r="Y175" s="168">
        <f t="shared" si="129"/>
        <v>0</v>
      </c>
      <c r="Z175" s="168">
        <f t="shared" si="129"/>
        <v>0</v>
      </c>
      <c r="AA175" s="168">
        <f t="shared" si="129"/>
        <v>0</v>
      </c>
      <c r="AB175" s="168">
        <f t="shared" si="129"/>
        <v>0</v>
      </c>
      <c r="AC175" s="168">
        <f t="shared" si="129"/>
        <v>0</v>
      </c>
      <c r="AD175" s="168">
        <f t="shared" si="129"/>
        <v>0</v>
      </c>
      <c r="AE175" s="168">
        <f t="shared" si="129"/>
        <v>0</v>
      </c>
      <c r="AF175" s="168">
        <f t="shared" si="129"/>
        <v>0</v>
      </c>
      <c r="AG175" s="168">
        <f t="shared" si="130"/>
        <v>0</v>
      </c>
      <c r="AH175" s="168">
        <f t="shared" si="130"/>
        <v>0</v>
      </c>
      <c r="AI175" s="168">
        <f t="shared" si="130"/>
        <v>0</v>
      </c>
      <c r="AJ175" s="168">
        <f t="shared" si="130"/>
        <v>0</v>
      </c>
      <c r="AK175" s="168">
        <f t="shared" si="130"/>
        <v>0</v>
      </c>
      <c r="AL175" s="168">
        <f t="shared" si="130"/>
        <v>0</v>
      </c>
      <c r="AM175" s="168">
        <f t="shared" si="130"/>
        <v>0</v>
      </c>
      <c r="AN175" s="168">
        <f t="shared" si="130"/>
        <v>0</v>
      </c>
      <c r="AO175" s="168">
        <f t="shared" si="130"/>
        <v>0</v>
      </c>
      <c r="AP175" s="168">
        <f t="shared" si="130"/>
        <v>0</v>
      </c>
      <c r="AQ175" s="170"/>
      <c r="AR175" s="171">
        <f t="shared" si="118"/>
        <v>61316.000099999997</v>
      </c>
      <c r="AT175" s="166">
        <f t="shared" si="119"/>
        <v>2010</v>
      </c>
      <c r="AU175" s="166">
        <f t="shared" si="120"/>
        <v>0</v>
      </c>
      <c r="AV175" s="166">
        <v>100</v>
      </c>
      <c r="AW175" s="241">
        <f t="shared" si="121"/>
        <v>0</v>
      </c>
      <c r="AX175" s="166">
        <f t="shared" si="122"/>
        <v>0</v>
      </c>
      <c r="AY175" s="166">
        <f t="shared" si="123"/>
        <v>0</v>
      </c>
      <c r="AZ175" s="242">
        <f t="shared" si="124"/>
        <v>0</v>
      </c>
      <c r="BA175" s="234">
        <f t="shared" si="104"/>
        <v>0</v>
      </c>
      <c r="BB175" s="235">
        <f t="shared" si="105"/>
        <v>0</v>
      </c>
      <c r="BC175" s="235">
        <f t="shared" si="106"/>
        <v>0</v>
      </c>
      <c r="BD175" s="236">
        <f t="shared" si="107"/>
        <v>1</v>
      </c>
    </row>
    <row r="176" spans="1:56" s="163" customFormat="1" ht="16.25" customHeight="1">
      <c r="A176" s="163" t="s">
        <v>233</v>
      </c>
      <c r="B176" s="163" t="s">
        <v>290</v>
      </c>
      <c r="C176" s="164" t="s">
        <v>2</v>
      </c>
      <c r="D176" s="165">
        <v>1</v>
      </c>
      <c r="E176" s="177">
        <f>firealarmsystemshopcostyear</f>
        <v>2019</v>
      </c>
      <c r="F176" s="203">
        <f>D176*firealarmsystemshopunitcost</f>
        <v>16000</v>
      </c>
      <c r="G176" s="167">
        <v>0</v>
      </c>
      <c r="H176" s="206">
        <f t="shared" si="114"/>
        <v>16560</v>
      </c>
      <c r="I176" s="166">
        <v>2003</v>
      </c>
      <c r="J176" s="226">
        <v>15</v>
      </c>
      <c r="K176" s="177">
        <f>firealarmsystemshoplife</f>
        <v>15</v>
      </c>
      <c r="L176" s="169"/>
      <c r="M176" s="168">
        <f t="shared" si="128"/>
        <v>0</v>
      </c>
      <c r="N176" s="168">
        <f t="shared" si="128"/>
        <v>0</v>
      </c>
      <c r="O176" s="168">
        <f t="shared" si="128"/>
        <v>0</v>
      </c>
      <c r="P176" s="168">
        <f t="shared" si="128"/>
        <v>0</v>
      </c>
      <c r="Q176" s="168">
        <f t="shared" si="128"/>
        <v>0</v>
      </c>
      <c r="R176" s="168">
        <f t="shared" si="128"/>
        <v>0</v>
      </c>
      <c r="S176" s="168">
        <f t="shared" si="128"/>
        <v>0</v>
      </c>
      <c r="T176" s="168">
        <f t="shared" si="128"/>
        <v>0</v>
      </c>
      <c r="U176" s="168">
        <f t="shared" si="128"/>
        <v>0</v>
      </c>
      <c r="V176" s="168">
        <f t="shared" si="128"/>
        <v>0</v>
      </c>
      <c r="W176" s="168">
        <f t="shared" si="129"/>
        <v>0</v>
      </c>
      <c r="X176" s="168">
        <f t="shared" si="129"/>
        <v>0</v>
      </c>
      <c r="Y176" s="168">
        <f t="shared" si="129"/>
        <v>0</v>
      </c>
      <c r="Z176" s="168">
        <f t="shared" si="129"/>
        <v>25899</v>
      </c>
      <c r="AA176" s="168">
        <f t="shared" si="129"/>
        <v>0</v>
      </c>
      <c r="AB176" s="168">
        <f t="shared" si="129"/>
        <v>0</v>
      </c>
      <c r="AC176" s="168">
        <f t="shared" si="129"/>
        <v>0</v>
      </c>
      <c r="AD176" s="168">
        <f t="shared" si="129"/>
        <v>0</v>
      </c>
      <c r="AE176" s="168">
        <f t="shared" si="129"/>
        <v>0</v>
      </c>
      <c r="AF176" s="168">
        <f t="shared" si="129"/>
        <v>0</v>
      </c>
      <c r="AG176" s="168">
        <f t="shared" si="130"/>
        <v>0</v>
      </c>
      <c r="AH176" s="168">
        <f t="shared" si="130"/>
        <v>0</v>
      </c>
      <c r="AI176" s="168">
        <f t="shared" si="130"/>
        <v>0</v>
      </c>
      <c r="AJ176" s="168">
        <f t="shared" si="130"/>
        <v>0</v>
      </c>
      <c r="AK176" s="168">
        <f t="shared" si="130"/>
        <v>0</v>
      </c>
      <c r="AL176" s="168">
        <f t="shared" si="130"/>
        <v>0</v>
      </c>
      <c r="AM176" s="168">
        <f t="shared" si="130"/>
        <v>0</v>
      </c>
      <c r="AN176" s="168">
        <f t="shared" si="130"/>
        <v>0</v>
      </c>
      <c r="AO176" s="168">
        <f t="shared" si="130"/>
        <v>43390</v>
      </c>
      <c r="AP176" s="168">
        <f t="shared" si="130"/>
        <v>0</v>
      </c>
      <c r="AQ176" s="170"/>
      <c r="AR176" s="171">
        <f t="shared" si="118"/>
        <v>69289.000100000005</v>
      </c>
      <c r="AT176" s="166">
        <f t="shared" si="119"/>
        <v>2003</v>
      </c>
      <c r="AU176" s="166">
        <f t="shared" si="120"/>
        <v>15</v>
      </c>
      <c r="AV176" s="166">
        <v>100</v>
      </c>
      <c r="AW176" s="241">
        <f t="shared" si="121"/>
        <v>0</v>
      </c>
      <c r="AX176" s="166">
        <f t="shared" si="122"/>
        <v>0</v>
      </c>
      <c r="AY176" s="166">
        <f t="shared" si="123"/>
        <v>0</v>
      </c>
      <c r="AZ176" s="242">
        <f t="shared" si="124"/>
        <v>0</v>
      </c>
      <c r="BA176" s="234">
        <f t="shared" si="104"/>
        <v>0</v>
      </c>
      <c r="BB176" s="235">
        <f t="shared" si="105"/>
        <v>0</v>
      </c>
      <c r="BC176" s="235">
        <f t="shared" si="106"/>
        <v>0</v>
      </c>
      <c r="BD176" s="236">
        <f t="shared" si="107"/>
        <v>1</v>
      </c>
    </row>
    <row r="177" spans="1:56" s="163" customFormat="1" ht="16.25" customHeight="1">
      <c r="A177" s="163" t="s">
        <v>233</v>
      </c>
      <c r="B177" s="163" t="s">
        <v>290</v>
      </c>
      <c r="C177" s="188" t="s">
        <v>291</v>
      </c>
      <c r="D177" s="182">
        <v>1</v>
      </c>
      <c r="E177" s="201">
        <f>furnaceACmaintenancecostyear</f>
        <v>2018</v>
      </c>
      <c r="F177" s="205">
        <f>furnaceACmaintenanceunitcost*D177</f>
        <v>15606</v>
      </c>
      <c r="G177" s="183">
        <v>10916</v>
      </c>
      <c r="H177" s="206">
        <f t="shared" si="114"/>
        <v>16717.537349999999</v>
      </c>
      <c r="I177" s="166">
        <v>2019</v>
      </c>
      <c r="J177" s="166"/>
      <c r="K177" s="177">
        <f>furnaceACmaintenancelife</f>
        <v>30</v>
      </c>
      <c r="L177" s="169"/>
      <c r="M177" s="168">
        <f t="shared" ref="M177:V191" si="131">ROUND($H177*IF(AND(M$1&gt;=($I177+$J177),MOD(M$1-($I177+$J177),$K177)=0),(1+InflationRate)^(M$1-AnalysisYear),0),0)*IF(AND(M$1&gt;=($AT177+$AU177),(M$1-($AT177+$AU177))&lt;&gt;0,MOD(M$1-($AT177+$AU177),$AV177)=0),0,1)</f>
        <v>0</v>
      </c>
      <c r="N177" s="168">
        <f t="shared" si="131"/>
        <v>0</v>
      </c>
      <c r="O177" s="168">
        <f t="shared" si="131"/>
        <v>0</v>
      </c>
      <c r="P177" s="168">
        <f t="shared" si="131"/>
        <v>0</v>
      </c>
      <c r="Q177" s="168">
        <f t="shared" si="131"/>
        <v>0</v>
      </c>
      <c r="R177" s="168">
        <f t="shared" si="131"/>
        <v>0</v>
      </c>
      <c r="S177" s="168">
        <f t="shared" si="131"/>
        <v>0</v>
      </c>
      <c r="T177" s="168">
        <f t="shared" si="131"/>
        <v>0</v>
      </c>
      <c r="U177" s="168">
        <f t="shared" si="131"/>
        <v>0</v>
      </c>
      <c r="V177" s="168">
        <f t="shared" si="131"/>
        <v>0</v>
      </c>
      <c r="W177" s="168">
        <f t="shared" ref="W177:AF191" si="132">ROUND($H177*IF(AND(W$1&gt;=($I177+$J177),MOD(W$1-($I177+$J177),$K177)=0),(1+InflationRate)^(W$1-AnalysisYear),0),0)*IF(AND(W$1&gt;=($AT177+$AU177),(W$1-($AT177+$AU177))&lt;&gt;0,MOD(W$1-($AT177+$AU177),$AV177)=0),0,1)</f>
        <v>0</v>
      </c>
      <c r="X177" s="168">
        <f t="shared" si="132"/>
        <v>0</v>
      </c>
      <c r="Y177" s="168">
        <f t="shared" si="132"/>
        <v>0</v>
      </c>
      <c r="Z177" s="168">
        <f t="shared" si="132"/>
        <v>0</v>
      </c>
      <c r="AA177" s="168">
        <f t="shared" si="132"/>
        <v>0</v>
      </c>
      <c r="AB177" s="168">
        <f t="shared" si="132"/>
        <v>0</v>
      </c>
      <c r="AC177" s="168">
        <f t="shared" si="132"/>
        <v>0</v>
      </c>
      <c r="AD177" s="168">
        <f t="shared" si="132"/>
        <v>0</v>
      </c>
      <c r="AE177" s="168">
        <f t="shared" si="132"/>
        <v>0</v>
      </c>
      <c r="AF177" s="168">
        <f t="shared" si="132"/>
        <v>0</v>
      </c>
      <c r="AG177" s="168">
        <f t="shared" ref="AG177:AP191" si="133">ROUND($H177*IF(AND(AG$1&gt;=($I177+$J177),MOD(AG$1-($I177+$J177),$K177)=0),(1+InflationRate)^(AG$1-AnalysisYear),0),0)*IF(AND(AG$1&gt;=($AT177+$AU177),(AG$1-($AT177+$AU177))&lt;&gt;0,MOD(AG$1-($AT177+$AU177),$AV177)=0),0,1)</f>
        <v>0</v>
      </c>
      <c r="AH177" s="168">
        <f t="shared" si="133"/>
        <v>0</v>
      </c>
      <c r="AI177" s="168">
        <f t="shared" si="133"/>
        <v>0</v>
      </c>
      <c r="AJ177" s="168">
        <f t="shared" si="133"/>
        <v>0</v>
      </c>
      <c r="AK177" s="168">
        <f t="shared" si="133"/>
        <v>0</v>
      </c>
      <c r="AL177" s="168">
        <f t="shared" si="133"/>
        <v>0</v>
      </c>
      <c r="AM177" s="168">
        <f t="shared" si="133"/>
        <v>0</v>
      </c>
      <c r="AN177" s="168">
        <f t="shared" si="133"/>
        <v>0</v>
      </c>
      <c r="AO177" s="168">
        <f t="shared" si="133"/>
        <v>0</v>
      </c>
      <c r="AP177" s="168">
        <f t="shared" si="133"/>
        <v>45336</v>
      </c>
      <c r="AQ177" s="170"/>
      <c r="AR177" s="171">
        <f t="shared" si="118"/>
        <v>45336.000099999997</v>
      </c>
      <c r="AT177" s="166">
        <f t="shared" si="119"/>
        <v>2019</v>
      </c>
      <c r="AU177" s="166">
        <f t="shared" si="120"/>
        <v>0</v>
      </c>
      <c r="AV177" s="166">
        <v>100</v>
      </c>
      <c r="AW177" s="241">
        <f t="shared" si="121"/>
        <v>0</v>
      </c>
      <c r="AX177" s="166">
        <f t="shared" si="122"/>
        <v>0</v>
      </c>
      <c r="AY177" s="166">
        <f t="shared" si="123"/>
        <v>0</v>
      </c>
      <c r="AZ177" s="242">
        <f t="shared" si="124"/>
        <v>0</v>
      </c>
      <c r="BA177" s="234">
        <f t="shared" si="104"/>
        <v>0</v>
      </c>
      <c r="BB177" s="235">
        <f t="shared" si="105"/>
        <v>0</v>
      </c>
      <c r="BC177" s="235">
        <f t="shared" si="106"/>
        <v>0</v>
      </c>
      <c r="BD177" s="236">
        <f t="shared" si="107"/>
        <v>1</v>
      </c>
    </row>
    <row r="178" spans="1:56" s="163" customFormat="1" ht="16.25" customHeight="1">
      <c r="A178" s="163" t="s">
        <v>233</v>
      </c>
      <c r="B178" s="163" t="s">
        <v>290</v>
      </c>
      <c r="C178" s="164" t="s">
        <v>111</v>
      </c>
      <c r="D178" s="165">
        <v>1</v>
      </c>
      <c r="E178" s="177">
        <f>gasdispensercostyear</f>
        <v>2016</v>
      </c>
      <c r="F178" s="203">
        <f>D178*gasdispenserunitcost</f>
        <v>15000</v>
      </c>
      <c r="G178" s="167">
        <v>0</v>
      </c>
      <c r="H178" s="206">
        <f t="shared" si="114"/>
        <v>17212.845009374996</v>
      </c>
      <c r="I178" s="166">
        <v>1991</v>
      </c>
      <c r="J178" s="166">
        <v>20</v>
      </c>
      <c r="K178" s="177">
        <f>gasdispenserlife</f>
        <v>20</v>
      </c>
      <c r="L178" s="169"/>
      <c r="M178" s="168">
        <f t="shared" si="131"/>
        <v>0</v>
      </c>
      <c r="N178" s="168">
        <f t="shared" si="131"/>
        <v>0</v>
      </c>
      <c r="O178" s="168">
        <f t="shared" si="131"/>
        <v>0</v>
      </c>
      <c r="P178" s="168">
        <f t="shared" si="131"/>
        <v>0</v>
      </c>
      <c r="Q178" s="168">
        <f t="shared" si="131"/>
        <v>0</v>
      </c>
      <c r="R178" s="168">
        <f t="shared" si="131"/>
        <v>0</v>
      </c>
      <c r="S178" s="168">
        <f t="shared" si="131"/>
        <v>0</v>
      </c>
      <c r="T178" s="168">
        <f t="shared" si="131"/>
        <v>0</v>
      </c>
      <c r="U178" s="168">
        <f t="shared" si="131"/>
        <v>0</v>
      </c>
      <c r="V178" s="168">
        <f t="shared" si="131"/>
        <v>0</v>
      </c>
      <c r="W178" s="168">
        <f t="shared" si="132"/>
        <v>0</v>
      </c>
      <c r="X178" s="168">
        <f t="shared" si="132"/>
        <v>25130</v>
      </c>
      <c r="Y178" s="168">
        <f t="shared" si="132"/>
        <v>0</v>
      </c>
      <c r="Z178" s="168">
        <f t="shared" si="132"/>
        <v>0</v>
      </c>
      <c r="AA178" s="168">
        <f t="shared" si="132"/>
        <v>0</v>
      </c>
      <c r="AB178" s="168">
        <f t="shared" si="132"/>
        <v>0</v>
      </c>
      <c r="AC178" s="168">
        <f t="shared" si="132"/>
        <v>0</v>
      </c>
      <c r="AD178" s="168">
        <f t="shared" si="132"/>
        <v>0</v>
      </c>
      <c r="AE178" s="168">
        <f t="shared" si="132"/>
        <v>0</v>
      </c>
      <c r="AF178" s="168">
        <f t="shared" si="132"/>
        <v>0</v>
      </c>
      <c r="AG178" s="168">
        <f t="shared" si="133"/>
        <v>0</v>
      </c>
      <c r="AH178" s="168">
        <f t="shared" si="133"/>
        <v>0</v>
      </c>
      <c r="AI178" s="168">
        <f t="shared" si="133"/>
        <v>0</v>
      </c>
      <c r="AJ178" s="168">
        <f t="shared" si="133"/>
        <v>0</v>
      </c>
      <c r="AK178" s="168">
        <f t="shared" si="133"/>
        <v>0</v>
      </c>
      <c r="AL178" s="168">
        <f t="shared" si="133"/>
        <v>0</v>
      </c>
      <c r="AM178" s="168">
        <f t="shared" si="133"/>
        <v>0</v>
      </c>
      <c r="AN178" s="168">
        <f t="shared" si="133"/>
        <v>0</v>
      </c>
      <c r="AO178" s="168">
        <f t="shared" si="133"/>
        <v>0</v>
      </c>
      <c r="AP178" s="168">
        <f t="shared" si="133"/>
        <v>0</v>
      </c>
      <c r="AQ178" s="170"/>
      <c r="AR178" s="171">
        <f t="shared" si="118"/>
        <v>25130.000100000001</v>
      </c>
      <c r="AT178" s="166">
        <f t="shared" si="119"/>
        <v>1991</v>
      </c>
      <c r="AU178" s="166">
        <f t="shared" si="120"/>
        <v>20</v>
      </c>
      <c r="AV178" s="166">
        <v>100</v>
      </c>
      <c r="AW178" s="241">
        <f t="shared" si="121"/>
        <v>0</v>
      </c>
      <c r="AX178" s="166">
        <f t="shared" si="122"/>
        <v>0</v>
      </c>
      <c r="AY178" s="166">
        <f t="shared" si="123"/>
        <v>0</v>
      </c>
      <c r="AZ178" s="242">
        <f t="shared" si="124"/>
        <v>0</v>
      </c>
      <c r="BA178" s="234">
        <f t="shared" si="104"/>
        <v>0</v>
      </c>
      <c r="BB178" s="235">
        <f t="shared" si="105"/>
        <v>0</v>
      </c>
      <c r="BC178" s="235">
        <f t="shared" si="106"/>
        <v>0</v>
      </c>
      <c r="BD178" s="236">
        <f t="shared" si="107"/>
        <v>1</v>
      </c>
    </row>
    <row r="179" spans="1:56" s="163" customFormat="1" ht="16.25" customHeight="1">
      <c r="A179" s="163" t="s">
        <v>233</v>
      </c>
      <c r="B179" s="163" t="s">
        <v>290</v>
      </c>
      <c r="C179" s="164" t="s">
        <v>112</v>
      </c>
      <c r="D179" s="165">
        <v>1</v>
      </c>
      <c r="E179" s="177">
        <f>gasmonitorcostyear</f>
        <v>2016</v>
      </c>
      <c r="F179" s="203">
        <f>D179*gasmonitorunitcost</f>
        <v>5000</v>
      </c>
      <c r="G179" s="167">
        <v>0</v>
      </c>
      <c r="H179" s="206">
        <f t="shared" si="114"/>
        <v>5737.6150031249981</v>
      </c>
      <c r="I179" s="166">
        <v>1991</v>
      </c>
      <c r="J179" s="166">
        <v>20</v>
      </c>
      <c r="K179" s="177">
        <f>gasmonitorlife</f>
        <v>20</v>
      </c>
      <c r="L179" s="169"/>
      <c r="M179" s="168">
        <f t="shared" si="131"/>
        <v>0</v>
      </c>
      <c r="N179" s="168">
        <f t="shared" si="131"/>
        <v>0</v>
      </c>
      <c r="O179" s="168">
        <f t="shared" si="131"/>
        <v>0</v>
      </c>
      <c r="P179" s="168">
        <f t="shared" si="131"/>
        <v>0</v>
      </c>
      <c r="Q179" s="168">
        <f t="shared" si="131"/>
        <v>0</v>
      </c>
      <c r="R179" s="168">
        <f t="shared" si="131"/>
        <v>0</v>
      </c>
      <c r="S179" s="168">
        <f t="shared" si="131"/>
        <v>0</v>
      </c>
      <c r="T179" s="168">
        <f t="shared" si="131"/>
        <v>0</v>
      </c>
      <c r="U179" s="168">
        <f t="shared" si="131"/>
        <v>0</v>
      </c>
      <c r="V179" s="168">
        <f t="shared" si="131"/>
        <v>0</v>
      </c>
      <c r="W179" s="168">
        <f t="shared" si="132"/>
        <v>0</v>
      </c>
      <c r="X179" s="168">
        <f t="shared" si="132"/>
        <v>8377</v>
      </c>
      <c r="Y179" s="168">
        <f t="shared" si="132"/>
        <v>0</v>
      </c>
      <c r="Z179" s="168">
        <f t="shared" si="132"/>
        <v>0</v>
      </c>
      <c r="AA179" s="168">
        <f t="shared" si="132"/>
        <v>0</v>
      </c>
      <c r="AB179" s="168">
        <f t="shared" si="132"/>
        <v>0</v>
      </c>
      <c r="AC179" s="168">
        <f t="shared" si="132"/>
        <v>0</v>
      </c>
      <c r="AD179" s="168">
        <f t="shared" si="132"/>
        <v>0</v>
      </c>
      <c r="AE179" s="168">
        <f t="shared" si="132"/>
        <v>0</v>
      </c>
      <c r="AF179" s="168">
        <f t="shared" si="132"/>
        <v>0</v>
      </c>
      <c r="AG179" s="168">
        <f t="shared" si="133"/>
        <v>0</v>
      </c>
      <c r="AH179" s="168">
        <f t="shared" si="133"/>
        <v>0</v>
      </c>
      <c r="AI179" s="168">
        <f t="shared" si="133"/>
        <v>0</v>
      </c>
      <c r="AJ179" s="168">
        <f t="shared" si="133"/>
        <v>0</v>
      </c>
      <c r="AK179" s="168">
        <f t="shared" si="133"/>
        <v>0</v>
      </c>
      <c r="AL179" s="168">
        <f t="shared" si="133"/>
        <v>0</v>
      </c>
      <c r="AM179" s="168">
        <f t="shared" si="133"/>
        <v>0</v>
      </c>
      <c r="AN179" s="168">
        <f t="shared" si="133"/>
        <v>0</v>
      </c>
      <c r="AO179" s="168">
        <f t="shared" si="133"/>
        <v>0</v>
      </c>
      <c r="AP179" s="168">
        <f t="shared" si="133"/>
        <v>0</v>
      </c>
      <c r="AQ179" s="170"/>
      <c r="AR179" s="171">
        <f t="shared" si="118"/>
        <v>8377.0000999999993</v>
      </c>
      <c r="AT179" s="166">
        <f t="shared" si="119"/>
        <v>1991</v>
      </c>
      <c r="AU179" s="166">
        <f t="shared" si="120"/>
        <v>20</v>
      </c>
      <c r="AV179" s="166">
        <v>100</v>
      </c>
      <c r="AW179" s="241">
        <f t="shared" si="121"/>
        <v>0</v>
      </c>
      <c r="AX179" s="166">
        <f t="shared" si="122"/>
        <v>0</v>
      </c>
      <c r="AY179" s="166">
        <f t="shared" si="123"/>
        <v>0</v>
      </c>
      <c r="AZ179" s="242">
        <f t="shared" si="124"/>
        <v>0</v>
      </c>
      <c r="BA179" s="234">
        <f t="shared" si="104"/>
        <v>0</v>
      </c>
      <c r="BB179" s="235">
        <f t="shared" si="105"/>
        <v>0</v>
      </c>
      <c r="BC179" s="235">
        <f t="shared" si="106"/>
        <v>0</v>
      </c>
      <c r="BD179" s="236">
        <f t="shared" si="107"/>
        <v>1</v>
      </c>
    </row>
    <row r="180" spans="1:56" s="163" customFormat="1" ht="16.25" customHeight="1">
      <c r="A180" s="163" t="s">
        <v>233</v>
      </c>
      <c r="B180" s="163" t="s">
        <v>290</v>
      </c>
      <c r="C180" s="164" t="s">
        <v>110</v>
      </c>
      <c r="D180" s="165">
        <v>1</v>
      </c>
      <c r="E180" s="177">
        <f>gasstoragecostyear</f>
        <v>2016</v>
      </c>
      <c r="F180" s="203">
        <f>D180*gasstorageunitcost</f>
        <v>75000</v>
      </c>
      <c r="G180" s="167">
        <v>0</v>
      </c>
      <c r="H180" s="206">
        <f t="shared" si="114"/>
        <v>86064.22504687497</v>
      </c>
      <c r="I180" s="166">
        <v>1991</v>
      </c>
      <c r="J180" s="166">
        <v>20</v>
      </c>
      <c r="K180" s="177">
        <f>gasstoragelife</f>
        <v>20</v>
      </c>
      <c r="L180" s="169"/>
      <c r="M180" s="168">
        <f t="shared" si="131"/>
        <v>0</v>
      </c>
      <c r="N180" s="168">
        <f t="shared" si="131"/>
        <v>0</v>
      </c>
      <c r="O180" s="168">
        <f t="shared" si="131"/>
        <v>0</v>
      </c>
      <c r="P180" s="168">
        <f t="shared" si="131"/>
        <v>0</v>
      </c>
      <c r="Q180" s="168">
        <f t="shared" si="131"/>
        <v>0</v>
      </c>
      <c r="R180" s="168">
        <f t="shared" si="131"/>
        <v>0</v>
      </c>
      <c r="S180" s="168">
        <f t="shared" si="131"/>
        <v>0</v>
      </c>
      <c r="T180" s="168">
        <f t="shared" si="131"/>
        <v>0</v>
      </c>
      <c r="U180" s="168">
        <f t="shared" si="131"/>
        <v>0</v>
      </c>
      <c r="V180" s="168">
        <f t="shared" si="131"/>
        <v>0</v>
      </c>
      <c r="W180" s="168">
        <f t="shared" si="132"/>
        <v>0</v>
      </c>
      <c r="X180" s="168">
        <f t="shared" si="132"/>
        <v>125651</v>
      </c>
      <c r="Y180" s="168">
        <f t="shared" si="132"/>
        <v>0</v>
      </c>
      <c r="Z180" s="168">
        <f t="shared" si="132"/>
        <v>0</v>
      </c>
      <c r="AA180" s="168">
        <f t="shared" si="132"/>
        <v>0</v>
      </c>
      <c r="AB180" s="168">
        <f t="shared" si="132"/>
        <v>0</v>
      </c>
      <c r="AC180" s="168">
        <f t="shared" si="132"/>
        <v>0</v>
      </c>
      <c r="AD180" s="168">
        <f t="shared" si="132"/>
        <v>0</v>
      </c>
      <c r="AE180" s="168">
        <f t="shared" si="132"/>
        <v>0</v>
      </c>
      <c r="AF180" s="168">
        <f t="shared" si="132"/>
        <v>0</v>
      </c>
      <c r="AG180" s="168">
        <f t="shared" si="133"/>
        <v>0</v>
      </c>
      <c r="AH180" s="168">
        <f t="shared" si="133"/>
        <v>0</v>
      </c>
      <c r="AI180" s="168">
        <f t="shared" si="133"/>
        <v>0</v>
      </c>
      <c r="AJ180" s="168">
        <f t="shared" si="133"/>
        <v>0</v>
      </c>
      <c r="AK180" s="168">
        <f t="shared" si="133"/>
        <v>0</v>
      </c>
      <c r="AL180" s="168">
        <f t="shared" si="133"/>
        <v>0</v>
      </c>
      <c r="AM180" s="168">
        <f t="shared" si="133"/>
        <v>0</v>
      </c>
      <c r="AN180" s="168">
        <f t="shared" si="133"/>
        <v>0</v>
      </c>
      <c r="AO180" s="168">
        <f t="shared" si="133"/>
        <v>0</v>
      </c>
      <c r="AP180" s="168">
        <f t="shared" si="133"/>
        <v>0</v>
      </c>
      <c r="AQ180" s="170"/>
      <c r="AR180" s="171">
        <f t="shared" si="118"/>
        <v>125651.0001</v>
      </c>
      <c r="AT180" s="166">
        <f t="shared" si="119"/>
        <v>1991</v>
      </c>
      <c r="AU180" s="166">
        <f t="shared" si="120"/>
        <v>20</v>
      </c>
      <c r="AV180" s="166">
        <v>100</v>
      </c>
      <c r="AW180" s="241">
        <f t="shared" si="121"/>
        <v>0</v>
      </c>
      <c r="AX180" s="166">
        <f t="shared" si="122"/>
        <v>0</v>
      </c>
      <c r="AY180" s="166">
        <f t="shared" si="123"/>
        <v>0</v>
      </c>
      <c r="AZ180" s="242">
        <f t="shared" si="124"/>
        <v>0</v>
      </c>
      <c r="BA180" s="234">
        <f t="shared" si="104"/>
        <v>0</v>
      </c>
      <c r="BB180" s="235">
        <f t="shared" si="105"/>
        <v>0</v>
      </c>
      <c r="BC180" s="235">
        <f t="shared" si="106"/>
        <v>0</v>
      </c>
      <c r="BD180" s="236">
        <f t="shared" si="107"/>
        <v>1</v>
      </c>
    </row>
    <row r="181" spans="1:56" s="163" customFormat="1" ht="16.25" customHeight="1">
      <c r="A181" s="163" t="s">
        <v>233</v>
      </c>
      <c r="B181" s="163" t="s">
        <v>290</v>
      </c>
      <c r="C181" s="164" t="s">
        <v>107</v>
      </c>
      <c r="D181" s="165">
        <v>1</v>
      </c>
      <c r="E181" s="177">
        <f>Inventoryremodelcostyear</f>
        <v>2016</v>
      </c>
      <c r="F181" s="203">
        <f>D181*Inventoryremodelunitcost</f>
        <v>10000</v>
      </c>
      <c r="G181" s="167">
        <f>IF(AnalysisYear=2017,0,10200)</f>
        <v>10200</v>
      </c>
      <c r="H181" s="206">
        <f t="shared" si="114"/>
        <v>11475.230006249996</v>
      </c>
      <c r="I181" s="166">
        <v>2016</v>
      </c>
      <c r="J181" s="166"/>
      <c r="K181" s="177">
        <f>Inventoryremodellife</f>
        <v>20</v>
      </c>
      <c r="L181" s="169"/>
      <c r="M181" s="168">
        <f t="shared" si="131"/>
        <v>0</v>
      </c>
      <c r="N181" s="168">
        <f t="shared" si="131"/>
        <v>0</v>
      </c>
      <c r="O181" s="168">
        <f t="shared" si="131"/>
        <v>0</v>
      </c>
      <c r="P181" s="168">
        <f t="shared" si="131"/>
        <v>0</v>
      </c>
      <c r="Q181" s="168">
        <f t="shared" si="131"/>
        <v>0</v>
      </c>
      <c r="R181" s="168">
        <f t="shared" si="131"/>
        <v>0</v>
      </c>
      <c r="S181" s="168">
        <f t="shared" si="131"/>
        <v>0</v>
      </c>
      <c r="T181" s="168">
        <f t="shared" si="131"/>
        <v>0</v>
      </c>
      <c r="U181" s="168">
        <f t="shared" si="131"/>
        <v>0</v>
      </c>
      <c r="V181" s="168">
        <f t="shared" si="131"/>
        <v>0</v>
      </c>
      <c r="W181" s="168">
        <f t="shared" si="132"/>
        <v>0</v>
      </c>
      <c r="X181" s="168">
        <f t="shared" si="132"/>
        <v>0</v>
      </c>
      <c r="Y181" s="168">
        <f t="shared" si="132"/>
        <v>0</v>
      </c>
      <c r="Z181" s="168">
        <f t="shared" si="132"/>
        <v>0</v>
      </c>
      <c r="AA181" s="168">
        <f t="shared" si="132"/>
        <v>0</v>
      </c>
      <c r="AB181" s="168">
        <f t="shared" si="132"/>
        <v>0</v>
      </c>
      <c r="AC181" s="168">
        <f t="shared" si="132"/>
        <v>19898</v>
      </c>
      <c r="AD181" s="168">
        <f t="shared" si="132"/>
        <v>0</v>
      </c>
      <c r="AE181" s="168">
        <f t="shared" si="132"/>
        <v>0</v>
      </c>
      <c r="AF181" s="168">
        <f t="shared" si="132"/>
        <v>0</v>
      </c>
      <c r="AG181" s="168">
        <f t="shared" si="133"/>
        <v>0</v>
      </c>
      <c r="AH181" s="168">
        <f t="shared" si="133"/>
        <v>0</v>
      </c>
      <c r="AI181" s="168">
        <f t="shared" si="133"/>
        <v>0</v>
      </c>
      <c r="AJ181" s="168">
        <f t="shared" si="133"/>
        <v>0</v>
      </c>
      <c r="AK181" s="168">
        <f t="shared" si="133"/>
        <v>0</v>
      </c>
      <c r="AL181" s="168">
        <f t="shared" si="133"/>
        <v>0</v>
      </c>
      <c r="AM181" s="168">
        <f t="shared" si="133"/>
        <v>0</v>
      </c>
      <c r="AN181" s="168">
        <f t="shared" si="133"/>
        <v>0</v>
      </c>
      <c r="AO181" s="168">
        <f t="shared" si="133"/>
        <v>0</v>
      </c>
      <c r="AP181" s="168">
        <f t="shared" si="133"/>
        <v>0</v>
      </c>
      <c r="AQ181" s="170"/>
      <c r="AR181" s="171">
        <f t="shared" si="118"/>
        <v>19898.000100000001</v>
      </c>
      <c r="AT181" s="166">
        <f t="shared" si="119"/>
        <v>2016</v>
      </c>
      <c r="AU181" s="166">
        <f t="shared" si="120"/>
        <v>0</v>
      </c>
      <c r="AV181" s="166">
        <v>100</v>
      </c>
      <c r="AW181" s="241">
        <f t="shared" si="121"/>
        <v>0</v>
      </c>
      <c r="AX181" s="166">
        <f t="shared" si="122"/>
        <v>0</v>
      </c>
      <c r="AY181" s="166">
        <f t="shared" si="123"/>
        <v>0</v>
      </c>
      <c r="AZ181" s="242">
        <f t="shared" si="124"/>
        <v>0</v>
      </c>
      <c r="BA181" s="234">
        <f t="shared" si="104"/>
        <v>0</v>
      </c>
      <c r="BB181" s="235">
        <f t="shared" si="105"/>
        <v>0</v>
      </c>
      <c r="BC181" s="235">
        <f t="shared" si="106"/>
        <v>0</v>
      </c>
      <c r="BD181" s="236">
        <f t="shared" si="107"/>
        <v>1</v>
      </c>
    </row>
    <row r="182" spans="1:56" s="163" customFormat="1" ht="16.25" customHeight="1">
      <c r="A182" s="163" t="s">
        <v>233</v>
      </c>
      <c r="B182" s="163" t="s">
        <v>290</v>
      </c>
      <c r="C182" s="164" t="s">
        <v>410</v>
      </c>
      <c r="D182" s="165">
        <v>1</v>
      </c>
      <c r="E182" s="177">
        <f>paintshopcostyear</f>
        <v>2014</v>
      </c>
      <c r="F182" s="203">
        <f>D182*paintshopunitcost</f>
        <v>13475</v>
      </c>
      <c r="G182" s="167">
        <v>0</v>
      </c>
      <c r="H182" s="206">
        <f t="shared" si="114"/>
        <v>16564.215522492341</v>
      </c>
      <c r="I182" s="166">
        <v>2014</v>
      </c>
      <c r="J182" s="166">
        <v>0</v>
      </c>
      <c r="K182" s="177">
        <f>paintshoplife</f>
        <v>10</v>
      </c>
      <c r="L182" s="169"/>
      <c r="M182" s="168">
        <f t="shared" si="131"/>
        <v>0</v>
      </c>
      <c r="N182" s="168">
        <f t="shared" si="131"/>
        <v>0</v>
      </c>
      <c r="O182" s="168">
        <f t="shared" si="131"/>
        <v>0</v>
      </c>
      <c r="P182" s="168">
        <f t="shared" si="131"/>
        <v>0</v>
      </c>
      <c r="Q182" s="168">
        <f t="shared" si="131"/>
        <v>19008</v>
      </c>
      <c r="R182" s="168">
        <f t="shared" si="131"/>
        <v>0</v>
      </c>
      <c r="S182" s="168">
        <f t="shared" si="131"/>
        <v>0</v>
      </c>
      <c r="T182" s="168">
        <f t="shared" si="131"/>
        <v>0</v>
      </c>
      <c r="U182" s="168">
        <f t="shared" si="131"/>
        <v>0</v>
      </c>
      <c r="V182" s="168">
        <f t="shared" si="131"/>
        <v>0</v>
      </c>
      <c r="W182" s="168">
        <f t="shared" si="132"/>
        <v>0</v>
      </c>
      <c r="X182" s="168">
        <f t="shared" si="132"/>
        <v>0</v>
      </c>
      <c r="Y182" s="168">
        <f t="shared" si="132"/>
        <v>0</v>
      </c>
      <c r="Z182" s="168">
        <f t="shared" si="132"/>
        <v>0</v>
      </c>
      <c r="AA182" s="168">
        <f t="shared" si="132"/>
        <v>26812</v>
      </c>
      <c r="AB182" s="168">
        <f t="shared" si="132"/>
        <v>0</v>
      </c>
      <c r="AC182" s="168">
        <f t="shared" si="132"/>
        <v>0</v>
      </c>
      <c r="AD182" s="168">
        <f t="shared" si="132"/>
        <v>0</v>
      </c>
      <c r="AE182" s="168">
        <f t="shared" si="132"/>
        <v>0</v>
      </c>
      <c r="AF182" s="168">
        <f t="shared" si="132"/>
        <v>0</v>
      </c>
      <c r="AG182" s="168">
        <f t="shared" si="133"/>
        <v>0</v>
      </c>
      <c r="AH182" s="168">
        <f t="shared" si="133"/>
        <v>0</v>
      </c>
      <c r="AI182" s="168">
        <f t="shared" si="133"/>
        <v>0</v>
      </c>
      <c r="AJ182" s="168">
        <f t="shared" si="133"/>
        <v>0</v>
      </c>
      <c r="AK182" s="168">
        <f t="shared" si="133"/>
        <v>37822</v>
      </c>
      <c r="AL182" s="168">
        <f t="shared" si="133"/>
        <v>0</v>
      </c>
      <c r="AM182" s="168">
        <f t="shared" si="133"/>
        <v>0</v>
      </c>
      <c r="AN182" s="168">
        <f t="shared" si="133"/>
        <v>0</v>
      </c>
      <c r="AO182" s="168">
        <f t="shared" si="133"/>
        <v>0</v>
      </c>
      <c r="AP182" s="168">
        <f t="shared" si="133"/>
        <v>0</v>
      </c>
      <c r="AQ182" s="170"/>
      <c r="AR182" s="171">
        <f t="shared" si="118"/>
        <v>83642.000100000005</v>
      </c>
      <c r="AT182" s="166">
        <f t="shared" si="119"/>
        <v>2014</v>
      </c>
      <c r="AU182" s="166">
        <f t="shared" si="120"/>
        <v>0</v>
      </c>
      <c r="AV182" s="166">
        <v>100</v>
      </c>
      <c r="AW182" s="241">
        <f t="shared" si="121"/>
        <v>0</v>
      </c>
      <c r="AX182" s="166">
        <f t="shared" si="122"/>
        <v>0</v>
      </c>
      <c r="AY182" s="166">
        <f t="shared" si="123"/>
        <v>0</v>
      </c>
      <c r="AZ182" s="242">
        <f t="shared" si="124"/>
        <v>0</v>
      </c>
      <c r="BA182" s="234">
        <f t="shared" si="104"/>
        <v>0</v>
      </c>
      <c r="BB182" s="235">
        <f t="shared" si="105"/>
        <v>0</v>
      </c>
      <c r="BC182" s="235">
        <f t="shared" si="106"/>
        <v>0</v>
      </c>
      <c r="BD182" s="236">
        <f t="shared" si="107"/>
        <v>1</v>
      </c>
    </row>
    <row r="183" spans="1:56" s="163" customFormat="1" ht="16.25" customHeight="1">
      <c r="A183" s="163" t="s">
        <v>233</v>
      </c>
      <c r="B183" s="163" t="s">
        <v>290</v>
      </c>
      <c r="C183" s="164" t="s">
        <v>23</v>
      </c>
      <c r="D183" s="166">
        <v>1</v>
      </c>
      <c r="E183" s="177">
        <f>RoofShopcostyear</f>
        <v>2019</v>
      </c>
      <c r="F183" s="203">
        <f>D183*Roofshopunitcost</f>
        <v>60000</v>
      </c>
      <c r="G183" s="167">
        <v>0</v>
      </c>
      <c r="H183" s="206">
        <f t="shared" si="114"/>
        <v>62099.999999999993</v>
      </c>
      <c r="I183" s="166">
        <v>2014</v>
      </c>
      <c r="J183" s="166">
        <v>0</v>
      </c>
      <c r="K183" s="177">
        <f>RoofShoplife</f>
        <v>25</v>
      </c>
      <c r="L183" s="169"/>
      <c r="M183" s="168">
        <f t="shared" si="131"/>
        <v>0</v>
      </c>
      <c r="N183" s="168">
        <f t="shared" si="131"/>
        <v>0</v>
      </c>
      <c r="O183" s="168">
        <f t="shared" si="131"/>
        <v>0</v>
      </c>
      <c r="P183" s="168">
        <f t="shared" si="131"/>
        <v>0</v>
      </c>
      <c r="Q183" s="168">
        <f t="shared" si="131"/>
        <v>0</v>
      </c>
      <c r="R183" s="168">
        <f t="shared" si="131"/>
        <v>0</v>
      </c>
      <c r="S183" s="168">
        <f t="shared" si="131"/>
        <v>0</v>
      </c>
      <c r="T183" s="168">
        <f t="shared" si="131"/>
        <v>0</v>
      </c>
      <c r="U183" s="168">
        <f t="shared" si="131"/>
        <v>0</v>
      </c>
      <c r="V183" s="168">
        <f t="shared" si="131"/>
        <v>0</v>
      </c>
      <c r="W183" s="168">
        <f t="shared" si="132"/>
        <v>0</v>
      </c>
      <c r="X183" s="168">
        <f t="shared" si="132"/>
        <v>0</v>
      </c>
      <c r="Y183" s="168">
        <f t="shared" si="132"/>
        <v>0</v>
      </c>
      <c r="Z183" s="168">
        <f t="shared" si="132"/>
        <v>0</v>
      </c>
      <c r="AA183" s="168">
        <f t="shared" si="132"/>
        <v>0</v>
      </c>
      <c r="AB183" s="168">
        <f t="shared" si="132"/>
        <v>0</v>
      </c>
      <c r="AC183" s="168">
        <f t="shared" si="132"/>
        <v>0</v>
      </c>
      <c r="AD183" s="168">
        <f t="shared" si="132"/>
        <v>0</v>
      </c>
      <c r="AE183" s="168">
        <f t="shared" si="132"/>
        <v>0</v>
      </c>
      <c r="AF183" s="168">
        <f t="shared" si="132"/>
        <v>119387</v>
      </c>
      <c r="AG183" s="168">
        <f t="shared" si="133"/>
        <v>0</v>
      </c>
      <c r="AH183" s="168">
        <f t="shared" si="133"/>
        <v>0</v>
      </c>
      <c r="AI183" s="168">
        <f t="shared" si="133"/>
        <v>0</v>
      </c>
      <c r="AJ183" s="168">
        <f t="shared" si="133"/>
        <v>0</v>
      </c>
      <c r="AK183" s="168">
        <f t="shared" si="133"/>
        <v>0</v>
      </c>
      <c r="AL183" s="168">
        <f t="shared" si="133"/>
        <v>0</v>
      </c>
      <c r="AM183" s="168">
        <f t="shared" si="133"/>
        <v>0</v>
      </c>
      <c r="AN183" s="168">
        <f t="shared" si="133"/>
        <v>0</v>
      </c>
      <c r="AO183" s="168">
        <f t="shared" si="133"/>
        <v>0</v>
      </c>
      <c r="AP183" s="168">
        <f t="shared" si="133"/>
        <v>0</v>
      </c>
      <c r="AQ183" s="170"/>
      <c r="AR183" s="171">
        <f t="shared" si="118"/>
        <v>119387.0001</v>
      </c>
      <c r="AT183" s="166">
        <f t="shared" si="119"/>
        <v>2014</v>
      </c>
      <c r="AU183" s="166">
        <f t="shared" si="120"/>
        <v>0</v>
      </c>
      <c r="AV183" s="166">
        <v>100</v>
      </c>
      <c r="AW183" s="241">
        <f t="shared" si="121"/>
        <v>0</v>
      </c>
      <c r="AX183" s="166">
        <f t="shared" si="122"/>
        <v>0</v>
      </c>
      <c r="AY183" s="166">
        <f t="shared" si="123"/>
        <v>0</v>
      </c>
      <c r="AZ183" s="242">
        <f t="shared" si="124"/>
        <v>0</v>
      </c>
      <c r="BA183" s="234">
        <f t="shared" si="104"/>
        <v>0</v>
      </c>
      <c r="BB183" s="235">
        <f t="shared" si="105"/>
        <v>0</v>
      </c>
      <c r="BC183" s="235">
        <f t="shared" si="106"/>
        <v>0</v>
      </c>
      <c r="BD183" s="236">
        <f t="shared" si="107"/>
        <v>1</v>
      </c>
    </row>
    <row r="184" spans="1:56" s="163" customFormat="1" ht="16.25" customHeight="1">
      <c r="A184" s="163" t="s">
        <v>233</v>
      </c>
      <c r="B184" s="163" t="s">
        <v>290</v>
      </c>
      <c r="C184" s="164" t="s">
        <v>1</v>
      </c>
      <c r="D184" s="165">
        <v>1</v>
      </c>
      <c r="E184" s="177">
        <f>SidingShopCOstYear</f>
        <v>2019</v>
      </c>
      <c r="F184" s="203">
        <f>D184*SidingShopUnitCost</f>
        <v>30612</v>
      </c>
      <c r="G184" s="167">
        <v>0</v>
      </c>
      <c r="H184" s="206">
        <f t="shared" si="114"/>
        <v>31683.42</v>
      </c>
      <c r="I184" s="166">
        <v>1991</v>
      </c>
      <c r="J184" s="166">
        <v>0</v>
      </c>
      <c r="K184" s="177">
        <f>SidingShopLIfe</f>
        <v>30</v>
      </c>
      <c r="L184" s="169"/>
      <c r="M184" s="168">
        <f t="shared" si="131"/>
        <v>0</v>
      </c>
      <c r="N184" s="168">
        <f t="shared" si="131"/>
        <v>32792</v>
      </c>
      <c r="O184" s="168">
        <f t="shared" si="131"/>
        <v>0</v>
      </c>
      <c r="P184" s="168">
        <f t="shared" si="131"/>
        <v>0</v>
      </c>
      <c r="Q184" s="168">
        <f t="shared" si="131"/>
        <v>0</v>
      </c>
      <c r="R184" s="168">
        <f t="shared" si="131"/>
        <v>0</v>
      </c>
      <c r="S184" s="168">
        <f t="shared" si="131"/>
        <v>0</v>
      </c>
      <c r="T184" s="168">
        <f t="shared" si="131"/>
        <v>0</v>
      </c>
      <c r="U184" s="168">
        <f t="shared" si="131"/>
        <v>0</v>
      </c>
      <c r="V184" s="168">
        <f t="shared" si="131"/>
        <v>0</v>
      </c>
      <c r="W184" s="168">
        <f t="shared" si="132"/>
        <v>0</v>
      </c>
      <c r="X184" s="168">
        <f t="shared" si="132"/>
        <v>0</v>
      </c>
      <c r="Y184" s="168">
        <f t="shared" si="132"/>
        <v>0</v>
      </c>
      <c r="Z184" s="168">
        <f t="shared" si="132"/>
        <v>0</v>
      </c>
      <c r="AA184" s="168">
        <f t="shared" si="132"/>
        <v>0</v>
      </c>
      <c r="AB184" s="168">
        <f t="shared" si="132"/>
        <v>0</v>
      </c>
      <c r="AC184" s="168">
        <f t="shared" si="132"/>
        <v>0</v>
      </c>
      <c r="AD184" s="168">
        <f t="shared" si="132"/>
        <v>0</v>
      </c>
      <c r="AE184" s="168">
        <f t="shared" si="132"/>
        <v>0</v>
      </c>
      <c r="AF184" s="168">
        <f t="shared" si="132"/>
        <v>0</v>
      </c>
      <c r="AG184" s="168">
        <f t="shared" si="133"/>
        <v>0</v>
      </c>
      <c r="AH184" s="168">
        <f t="shared" si="133"/>
        <v>0</v>
      </c>
      <c r="AI184" s="168">
        <f t="shared" si="133"/>
        <v>0</v>
      </c>
      <c r="AJ184" s="168">
        <f t="shared" si="133"/>
        <v>0</v>
      </c>
      <c r="AK184" s="168">
        <f t="shared" si="133"/>
        <v>0</v>
      </c>
      <c r="AL184" s="168">
        <f t="shared" si="133"/>
        <v>0</v>
      </c>
      <c r="AM184" s="168">
        <f t="shared" si="133"/>
        <v>0</v>
      </c>
      <c r="AN184" s="168">
        <f t="shared" si="133"/>
        <v>0</v>
      </c>
      <c r="AO184" s="168">
        <f t="shared" si="133"/>
        <v>0</v>
      </c>
      <c r="AP184" s="168">
        <f t="shared" si="133"/>
        <v>0</v>
      </c>
      <c r="AQ184" s="170"/>
      <c r="AR184" s="171">
        <f t="shared" si="118"/>
        <v>32792.000099999997</v>
      </c>
      <c r="AT184" s="166">
        <f t="shared" si="119"/>
        <v>1991</v>
      </c>
      <c r="AU184" s="166">
        <f t="shared" si="120"/>
        <v>0</v>
      </c>
      <c r="AV184" s="166">
        <v>100</v>
      </c>
      <c r="AW184" s="241">
        <f t="shared" si="121"/>
        <v>0</v>
      </c>
      <c r="AX184" s="166">
        <f t="shared" si="122"/>
        <v>0</v>
      </c>
      <c r="AY184" s="166">
        <f t="shared" si="123"/>
        <v>0</v>
      </c>
      <c r="AZ184" s="242">
        <f t="shared" si="124"/>
        <v>0</v>
      </c>
      <c r="BA184" s="234">
        <f t="shared" si="104"/>
        <v>0</v>
      </c>
      <c r="BB184" s="235">
        <f t="shared" si="105"/>
        <v>0</v>
      </c>
      <c r="BC184" s="235">
        <f t="shared" si="106"/>
        <v>0</v>
      </c>
      <c r="BD184" s="236">
        <f t="shared" si="107"/>
        <v>1</v>
      </c>
    </row>
    <row r="185" spans="1:56" s="163" customFormat="1" ht="16.25" customHeight="1">
      <c r="A185" s="163" t="s">
        <v>233</v>
      </c>
      <c r="B185" s="163" t="s">
        <v>290</v>
      </c>
      <c r="C185" s="164" t="s">
        <v>9</v>
      </c>
      <c r="D185" s="165">
        <v>1</v>
      </c>
      <c r="E185" s="177">
        <f>VehicleHoistCOstYear</f>
        <v>2014</v>
      </c>
      <c r="F185" s="203">
        <f>D185*VehicleHoistUnitCOst</f>
        <v>7725</v>
      </c>
      <c r="G185" s="167">
        <v>0</v>
      </c>
      <c r="H185" s="206">
        <f t="shared" si="114"/>
        <v>9495.9973960113803</v>
      </c>
      <c r="I185" s="166">
        <v>1992</v>
      </c>
      <c r="J185" s="166">
        <v>3</v>
      </c>
      <c r="K185" s="177">
        <f>VehicleHoistLife</f>
        <v>25</v>
      </c>
      <c r="L185" s="169"/>
      <c r="M185" s="168">
        <f t="shared" si="131"/>
        <v>9496</v>
      </c>
      <c r="N185" s="168">
        <f t="shared" si="131"/>
        <v>0</v>
      </c>
      <c r="O185" s="168">
        <f t="shared" si="131"/>
        <v>0</v>
      </c>
      <c r="P185" s="168">
        <f t="shared" si="131"/>
        <v>0</v>
      </c>
      <c r="Q185" s="168">
        <f t="shared" si="131"/>
        <v>0</v>
      </c>
      <c r="R185" s="168">
        <f t="shared" si="131"/>
        <v>0</v>
      </c>
      <c r="S185" s="168">
        <f t="shared" si="131"/>
        <v>0</v>
      </c>
      <c r="T185" s="168">
        <f t="shared" si="131"/>
        <v>0</v>
      </c>
      <c r="U185" s="168">
        <f t="shared" si="131"/>
        <v>0</v>
      </c>
      <c r="V185" s="168">
        <f t="shared" si="131"/>
        <v>0</v>
      </c>
      <c r="W185" s="168">
        <f t="shared" si="132"/>
        <v>0</v>
      </c>
      <c r="X185" s="168">
        <f t="shared" si="132"/>
        <v>0</v>
      </c>
      <c r="Y185" s="168">
        <f t="shared" si="132"/>
        <v>0</v>
      </c>
      <c r="Z185" s="168">
        <f t="shared" si="132"/>
        <v>0</v>
      </c>
      <c r="AA185" s="168">
        <f t="shared" si="132"/>
        <v>0</v>
      </c>
      <c r="AB185" s="168">
        <f t="shared" si="132"/>
        <v>0</v>
      </c>
      <c r="AC185" s="168">
        <f t="shared" si="132"/>
        <v>0</v>
      </c>
      <c r="AD185" s="168">
        <f t="shared" si="132"/>
        <v>0</v>
      </c>
      <c r="AE185" s="168">
        <f t="shared" si="132"/>
        <v>0</v>
      </c>
      <c r="AF185" s="168">
        <f t="shared" si="132"/>
        <v>0</v>
      </c>
      <c r="AG185" s="168">
        <f t="shared" si="133"/>
        <v>0</v>
      </c>
      <c r="AH185" s="168">
        <f t="shared" si="133"/>
        <v>0</v>
      </c>
      <c r="AI185" s="168">
        <f t="shared" si="133"/>
        <v>0</v>
      </c>
      <c r="AJ185" s="168">
        <f t="shared" si="133"/>
        <v>0</v>
      </c>
      <c r="AK185" s="168">
        <f t="shared" si="133"/>
        <v>0</v>
      </c>
      <c r="AL185" s="168">
        <f t="shared" si="133"/>
        <v>22441</v>
      </c>
      <c r="AM185" s="168">
        <f t="shared" si="133"/>
        <v>0</v>
      </c>
      <c r="AN185" s="168">
        <f t="shared" si="133"/>
        <v>0</v>
      </c>
      <c r="AO185" s="168">
        <f t="shared" si="133"/>
        <v>0</v>
      </c>
      <c r="AP185" s="168">
        <f t="shared" si="133"/>
        <v>0</v>
      </c>
      <c r="AQ185" s="170"/>
      <c r="AR185" s="171">
        <f t="shared" si="118"/>
        <v>31937.000100000001</v>
      </c>
      <c r="AT185" s="166">
        <f t="shared" si="119"/>
        <v>1992</v>
      </c>
      <c r="AU185" s="166">
        <f t="shared" si="120"/>
        <v>3</v>
      </c>
      <c r="AV185" s="166">
        <v>100</v>
      </c>
      <c r="AW185" s="241">
        <f t="shared" si="121"/>
        <v>0</v>
      </c>
      <c r="AX185" s="166">
        <f t="shared" si="122"/>
        <v>0</v>
      </c>
      <c r="AY185" s="166">
        <f t="shared" si="123"/>
        <v>0</v>
      </c>
      <c r="AZ185" s="242">
        <f t="shared" si="124"/>
        <v>0</v>
      </c>
      <c r="BA185" s="234">
        <f t="shared" si="104"/>
        <v>0</v>
      </c>
      <c r="BB185" s="235">
        <f t="shared" si="105"/>
        <v>0</v>
      </c>
      <c r="BC185" s="235">
        <f t="shared" si="106"/>
        <v>0</v>
      </c>
      <c r="BD185" s="236">
        <f t="shared" si="107"/>
        <v>1</v>
      </c>
    </row>
    <row r="186" spans="1:56" s="163" customFormat="1" ht="16.25" customHeight="1">
      <c r="A186" s="163" t="s">
        <v>233</v>
      </c>
      <c r="B186" s="163" t="s">
        <v>236</v>
      </c>
      <c r="C186" s="163" t="s">
        <v>7</v>
      </c>
      <c r="D186" s="176">
        <v>11819</v>
      </c>
      <c r="E186" s="177">
        <f t="shared" ref="E186:E191" si="134">RoadSealcoatcostyear</f>
        <v>2019</v>
      </c>
      <c r="F186" s="203">
        <f t="shared" ref="F186:F191" si="135">D186*Roadsealcoatunitcost</f>
        <v>35457</v>
      </c>
      <c r="G186" s="167">
        <v>0</v>
      </c>
      <c r="H186" s="206">
        <f t="shared" si="114"/>
        <v>36697.994999999995</v>
      </c>
      <c r="I186" s="166">
        <v>2013</v>
      </c>
      <c r="J186" s="166">
        <v>1</v>
      </c>
      <c r="K186" s="177">
        <f t="shared" ref="K186:K191" si="136">Roadsealcoatlife</f>
        <v>6</v>
      </c>
      <c r="L186" s="169"/>
      <c r="M186" s="168">
        <f t="shared" si="131"/>
        <v>36698</v>
      </c>
      <c r="N186" s="168">
        <f t="shared" si="131"/>
        <v>0</v>
      </c>
      <c r="O186" s="168">
        <f t="shared" si="131"/>
        <v>0</v>
      </c>
      <c r="P186" s="168">
        <f t="shared" si="131"/>
        <v>0</v>
      </c>
      <c r="Q186" s="168">
        <f t="shared" si="131"/>
        <v>0</v>
      </c>
      <c r="R186" s="168">
        <f t="shared" si="131"/>
        <v>0</v>
      </c>
      <c r="S186" s="168">
        <f t="shared" si="131"/>
        <v>45111</v>
      </c>
      <c r="T186" s="168">
        <f t="shared" si="131"/>
        <v>0</v>
      </c>
      <c r="U186" s="168">
        <f t="shared" si="131"/>
        <v>0</v>
      </c>
      <c r="V186" s="168">
        <f t="shared" si="131"/>
        <v>0</v>
      </c>
      <c r="W186" s="168">
        <f t="shared" si="132"/>
        <v>0</v>
      </c>
      <c r="X186" s="168">
        <f t="shared" si="132"/>
        <v>0</v>
      </c>
      <c r="Y186" s="168">
        <f t="shared" si="132"/>
        <v>55453</v>
      </c>
      <c r="Z186" s="168">
        <f t="shared" si="132"/>
        <v>0</v>
      </c>
      <c r="AA186" s="168">
        <f t="shared" si="132"/>
        <v>0</v>
      </c>
      <c r="AB186" s="168">
        <f t="shared" si="132"/>
        <v>0</v>
      </c>
      <c r="AC186" s="168">
        <f t="shared" si="132"/>
        <v>0</v>
      </c>
      <c r="AD186" s="168">
        <f t="shared" si="132"/>
        <v>0</v>
      </c>
      <c r="AE186" s="168">
        <f t="shared" si="132"/>
        <v>68166</v>
      </c>
      <c r="AF186" s="168">
        <f t="shared" si="132"/>
        <v>0</v>
      </c>
      <c r="AG186" s="168">
        <f t="shared" si="133"/>
        <v>0</v>
      </c>
      <c r="AH186" s="168">
        <f t="shared" si="133"/>
        <v>0</v>
      </c>
      <c r="AI186" s="168">
        <f t="shared" si="133"/>
        <v>0</v>
      </c>
      <c r="AJ186" s="168">
        <f t="shared" si="133"/>
        <v>0</v>
      </c>
      <c r="AK186" s="168">
        <f t="shared" si="133"/>
        <v>0</v>
      </c>
      <c r="AL186" s="168">
        <f t="shared" si="133"/>
        <v>0</v>
      </c>
      <c r="AM186" s="168">
        <f t="shared" si="133"/>
        <v>0</v>
      </c>
      <c r="AN186" s="168">
        <f t="shared" si="133"/>
        <v>0</v>
      </c>
      <c r="AO186" s="168">
        <f t="shared" si="133"/>
        <v>0</v>
      </c>
      <c r="AP186" s="168">
        <f t="shared" si="133"/>
        <v>0</v>
      </c>
      <c r="AQ186" s="170"/>
      <c r="AR186" s="171">
        <f t="shared" si="118"/>
        <v>205428.0001</v>
      </c>
      <c r="AT186" s="166">
        <f t="shared" si="119"/>
        <v>2013</v>
      </c>
      <c r="AU186" s="166">
        <f t="shared" si="120"/>
        <v>1</v>
      </c>
      <c r="AV186" s="166">
        <v>30</v>
      </c>
      <c r="AW186" s="241">
        <f t="shared" si="121"/>
        <v>0</v>
      </c>
      <c r="AX186" s="166">
        <f t="shared" si="122"/>
        <v>0</v>
      </c>
      <c r="AY186" s="166">
        <f t="shared" si="123"/>
        <v>0</v>
      </c>
      <c r="AZ186" s="242">
        <f t="shared" si="124"/>
        <v>0</v>
      </c>
      <c r="BA186" s="234">
        <f t="shared" si="104"/>
        <v>0</v>
      </c>
      <c r="BB186" s="235">
        <f t="shared" si="105"/>
        <v>0</v>
      </c>
      <c r="BC186" s="235">
        <f t="shared" si="106"/>
        <v>0</v>
      </c>
      <c r="BD186" s="236">
        <f t="shared" si="107"/>
        <v>1</v>
      </c>
    </row>
    <row r="187" spans="1:56" s="163" customFormat="1" ht="16.25" customHeight="1">
      <c r="A187" s="163" t="s">
        <v>233</v>
      </c>
      <c r="B187" s="163" t="s">
        <v>236</v>
      </c>
      <c r="C187" s="163" t="s">
        <v>210</v>
      </c>
      <c r="D187" s="176">
        <v>2899</v>
      </c>
      <c r="E187" s="177">
        <f t="shared" si="134"/>
        <v>2019</v>
      </c>
      <c r="F187" s="203">
        <f t="shared" si="135"/>
        <v>8697</v>
      </c>
      <c r="G187" s="167">
        <v>0</v>
      </c>
      <c r="H187" s="206">
        <f t="shared" si="114"/>
        <v>9001.3949999999986</v>
      </c>
      <c r="I187" s="166">
        <v>2018</v>
      </c>
      <c r="J187" s="166"/>
      <c r="K187" s="177">
        <f t="shared" si="136"/>
        <v>6</v>
      </c>
      <c r="L187" s="169"/>
      <c r="M187" s="168">
        <f t="shared" si="131"/>
        <v>0</v>
      </c>
      <c r="N187" s="168">
        <f t="shared" si="131"/>
        <v>0</v>
      </c>
      <c r="O187" s="168">
        <f t="shared" si="131"/>
        <v>0</v>
      </c>
      <c r="P187" s="168">
        <f t="shared" si="131"/>
        <v>0</v>
      </c>
      <c r="Q187" s="168">
        <f t="shared" si="131"/>
        <v>10329</v>
      </c>
      <c r="R187" s="168">
        <f t="shared" si="131"/>
        <v>0</v>
      </c>
      <c r="S187" s="168">
        <f t="shared" si="131"/>
        <v>0</v>
      </c>
      <c r="T187" s="168">
        <f t="shared" si="131"/>
        <v>0</v>
      </c>
      <c r="U187" s="168">
        <f t="shared" si="131"/>
        <v>0</v>
      </c>
      <c r="V187" s="168">
        <f t="shared" si="131"/>
        <v>0</v>
      </c>
      <c r="W187" s="168">
        <f t="shared" si="132"/>
        <v>12697</v>
      </c>
      <c r="X187" s="168">
        <f t="shared" si="132"/>
        <v>0</v>
      </c>
      <c r="Y187" s="168">
        <f t="shared" si="132"/>
        <v>0</v>
      </c>
      <c r="Z187" s="168">
        <f t="shared" si="132"/>
        <v>0</v>
      </c>
      <c r="AA187" s="168">
        <f t="shared" si="132"/>
        <v>0</v>
      </c>
      <c r="AB187" s="168">
        <f t="shared" si="132"/>
        <v>0</v>
      </c>
      <c r="AC187" s="168">
        <f t="shared" si="132"/>
        <v>15608</v>
      </c>
      <c r="AD187" s="168">
        <f t="shared" si="132"/>
        <v>0</v>
      </c>
      <c r="AE187" s="168">
        <f t="shared" si="132"/>
        <v>0</v>
      </c>
      <c r="AF187" s="168">
        <f t="shared" si="132"/>
        <v>0</v>
      </c>
      <c r="AG187" s="168">
        <f t="shared" si="133"/>
        <v>0</v>
      </c>
      <c r="AH187" s="168">
        <f t="shared" si="133"/>
        <v>0</v>
      </c>
      <c r="AI187" s="168">
        <f t="shared" si="133"/>
        <v>19187</v>
      </c>
      <c r="AJ187" s="168">
        <f t="shared" si="133"/>
        <v>0</v>
      </c>
      <c r="AK187" s="168">
        <f t="shared" si="133"/>
        <v>0</v>
      </c>
      <c r="AL187" s="168">
        <f t="shared" si="133"/>
        <v>0</v>
      </c>
      <c r="AM187" s="168">
        <f t="shared" si="133"/>
        <v>0</v>
      </c>
      <c r="AN187" s="168">
        <f t="shared" si="133"/>
        <v>0</v>
      </c>
      <c r="AO187" s="168">
        <f t="shared" si="133"/>
        <v>0</v>
      </c>
      <c r="AP187" s="168">
        <f t="shared" si="133"/>
        <v>0</v>
      </c>
      <c r="AQ187" s="170"/>
      <c r="AR187" s="171">
        <f t="shared" si="118"/>
        <v>57821.000099999997</v>
      </c>
      <c r="AT187" s="166">
        <f t="shared" si="119"/>
        <v>2018</v>
      </c>
      <c r="AU187" s="166">
        <f t="shared" si="120"/>
        <v>0</v>
      </c>
      <c r="AV187" s="166">
        <v>30</v>
      </c>
      <c r="AW187" s="241">
        <f t="shared" si="121"/>
        <v>0</v>
      </c>
      <c r="AX187" s="166">
        <f t="shared" si="122"/>
        <v>0</v>
      </c>
      <c r="AY187" s="166">
        <f t="shared" si="123"/>
        <v>0</v>
      </c>
      <c r="AZ187" s="242">
        <f t="shared" si="124"/>
        <v>0</v>
      </c>
      <c r="BA187" s="234">
        <f t="shared" si="104"/>
        <v>0</v>
      </c>
      <c r="BB187" s="235">
        <f t="shared" si="105"/>
        <v>0</v>
      </c>
      <c r="BC187" s="235">
        <f t="shared" si="106"/>
        <v>0</v>
      </c>
      <c r="BD187" s="236">
        <f t="shared" si="107"/>
        <v>1</v>
      </c>
    </row>
    <row r="188" spans="1:56" s="163" customFormat="1" ht="16.25" customHeight="1">
      <c r="A188" s="163" t="s">
        <v>233</v>
      </c>
      <c r="B188" s="163" t="s">
        <v>236</v>
      </c>
      <c r="C188" s="163" t="s">
        <v>8</v>
      </c>
      <c r="D188" s="176">
        <v>4718</v>
      </c>
      <c r="E188" s="177">
        <f t="shared" si="134"/>
        <v>2019</v>
      </c>
      <c r="F188" s="203">
        <f t="shared" si="135"/>
        <v>14154</v>
      </c>
      <c r="G188" s="167">
        <v>12091</v>
      </c>
      <c r="H188" s="206">
        <f t="shared" si="114"/>
        <v>14649.39</v>
      </c>
      <c r="I188" s="166">
        <v>2019</v>
      </c>
      <c r="J188" s="166"/>
      <c r="K188" s="177">
        <f t="shared" si="136"/>
        <v>6</v>
      </c>
      <c r="L188" s="169"/>
      <c r="M188" s="168">
        <f t="shared" si="131"/>
        <v>0</v>
      </c>
      <c r="N188" s="168">
        <f t="shared" si="131"/>
        <v>0</v>
      </c>
      <c r="O188" s="168">
        <f t="shared" si="131"/>
        <v>0</v>
      </c>
      <c r="P188" s="168">
        <f t="shared" si="131"/>
        <v>0</v>
      </c>
      <c r="Q188" s="168">
        <f t="shared" si="131"/>
        <v>0</v>
      </c>
      <c r="R188" s="168">
        <f t="shared" si="131"/>
        <v>17399</v>
      </c>
      <c r="S188" s="168">
        <f t="shared" si="131"/>
        <v>0</v>
      </c>
      <c r="T188" s="168">
        <f t="shared" si="131"/>
        <v>0</v>
      </c>
      <c r="U188" s="168">
        <f t="shared" si="131"/>
        <v>0</v>
      </c>
      <c r="V188" s="168">
        <f t="shared" si="131"/>
        <v>0</v>
      </c>
      <c r="W188" s="168">
        <f t="shared" si="132"/>
        <v>0</v>
      </c>
      <c r="X188" s="168">
        <f t="shared" si="132"/>
        <v>21388</v>
      </c>
      <c r="Y188" s="168">
        <f t="shared" si="132"/>
        <v>0</v>
      </c>
      <c r="Z188" s="168">
        <f t="shared" si="132"/>
        <v>0</v>
      </c>
      <c r="AA188" s="168">
        <f t="shared" si="132"/>
        <v>0</v>
      </c>
      <c r="AB188" s="168">
        <f t="shared" si="132"/>
        <v>0</v>
      </c>
      <c r="AC188" s="168">
        <f t="shared" si="132"/>
        <v>0</v>
      </c>
      <c r="AD188" s="168">
        <f t="shared" si="132"/>
        <v>26291</v>
      </c>
      <c r="AE188" s="168">
        <f t="shared" si="132"/>
        <v>0</v>
      </c>
      <c r="AF188" s="168">
        <f t="shared" si="132"/>
        <v>0</v>
      </c>
      <c r="AG188" s="168">
        <f t="shared" si="133"/>
        <v>0</v>
      </c>
      <c r="AH188" s="168">
        <f t="shared" si="133"/>
        <v>0</v>
      </c>
      <c r="AI188" s="168">
        <f t="shared" si="133"/>
        <v>0</v>
      </c>
      <c r="AJ188" s="168">
        <f t="shared" si="133"/>
        <v>32318</v>
      </c>
      <c r="AK188" s="168">
        <f t="shared" si="133"/>
        <v>0</v>
      </c>
      <c r="AL188" s="168">
        <f t="shared" si="133"/>
        <v>0</v>
      </c>
      <c r="AM188" s="168">
        <f t="shared" si="133"/>
        <v>0</v>
      </c>
      <c r="AN188" s="168">
        <f t="shared" si="133"/>
        <v>0</v>
      </c>
      <c r="AO188" s="168">
        <f t="shared" si="133"/>
        <v>0</v>
      </c>
      <c r="AP188" s="168">
        <f t="shared" si="133"/>
        <v>0</v>
      </c>
      <c r="AQ188" s="170"/>
      <c r="AR188" s="171">
        <f t="shared" si="118"/>
        <v>97396.000100000005</v>
      </c>
      <c r="AT188" s="166">
        <f t="shared" si="119"/>
        <v>2019</v>
      </c>
      <c r="AU188" s="166">
        <f t="shared" si="120"/>
        <v>0</v>
      </c>
      <c r="AV188" s="166">
        <v>30</v>
      </c>
      <c r="AW188" s="241">
        <f t="shared" si="121"/>
        <v>0</v>
      </c>
      <c r="AX188" s="166">
        <f t="shared" si="122"/>
        <v>0</v>
      </c>
      <c r="AY188" s="166">
        <f t="shared" si="123"/>
        <v>0</v>
      </c>
      <c r="AZ188" s="242">
        <f t="shared" si="124"/>
        <v>0</v>
      </c>
      <c r="BA188" s="234">
        <f t="shared" si="104"/>
        <v>0</v>
      </c>
      <c r="BB188" s="235">
        <f t="shared" si="105"/>
        <v>0</v>
      </c>
      <c r="BC188" s="235">
        <f t="shared" si="106"/>
        <v>0</v>
      </c>
      <c r="BD188" s="236">
        <f t="shared" si="107"/>
        <v>1</v>
      </c>
    </row>
    <row r="189" spans="1:56" s="163" customFormat="1" ht="16.25" customHeight="1">
      <c r="A189" s="163" t="s">
        <v>233</v>
      </c>
      <c r="B189" s="163" t="s">
        <v>236</v>
      </c>
      <c r="C189" s="163" t="s">
        <v>323</v>
      </c>
      <c r="D189" s="176">
        <v>5095</v>
      </c>
      <c r="E189" s="177">
        <f t="shared" si="134"/>
        <v>2019</v>
      </c>
      <c r="F189" s="203">
        <f t="shared" si="135"/>
        <v>15285</v>
      </c>
      <c r="G189" s="167">
        <v>0</v>
      </c>
      <c r="H189" s="206">
        <f t="shared" si="114"/>
        <v>15819.974999999999</v>
      </c>
      <c r="I189" s="166">
        <v>2018</v>
      </c>
      <c r="J189" s="166"/>
      <c r="K189" s="177">
        <f t="shared" si="136"/>
        <v>6</v>
      </c>
      <c r="L189" s="169"/>
      <c r="M189" s="168">
        <f t="shared" si="131"/>
        <v>0</v>
      </c>
      <c r="N189" s="168">
        <f t="shared" si="131"/>
        <v>0</v>
      </c>
      <c r="O189" s="168">
        <f t="shared" si="131"/>
        <v>0</v>
      </c>
      <c r="P189" s="168">
        <f t="shared" si="131"/>
        <v>0</v>
      </c>
      <c r="Q189" s="168">
        <f t="shared" si="131"/>
        <v>18154</v>
      </c>
      <c r="R189" s="168">
        <f t="shared" si="131"/>
        <v>0</v>
      </c>
      <c r="S189" s="168">
        <f t="shared" si="131"/>
        <v>0</v>
      </c>
      <c r="T189" s="168">
        <f t="shared" si="131"/>
        <v>0</v>
      </c>
      <c r="U189" s="168">
        <f t="shared" si="131"/>
        <v>0</v>
      </c>
      <c r="V189" s="168">
        <f t="shared" si="131"/>
        <v>0</v>
      </c>
      <c r="W189" s="168">
        <f t="shared" si="132"/>
        <v>22316</v>
      </c>
      <c r="X189" s="168">
        <f t="shared" si="132"/>
        <v>0</v>
      </c>
      <c r="Y189" s="168">
        <f t="shared" si="132"/>
        <v>0</v>
      </c>
      <c r="Z189" s="168">
        <f t="shared" si="132"/>
        <v>0</v>
      </c>
      <c r="AA189" s="168">
        <f t="shared" si="132"/>
        <v>0</v>
      </c>
      <c r="AB189" s="168">
        <f t="shared" si="132"/>
        <v>0</v>
      </c>
      <c r="AC189" s="168">
        <f t="shared" si="132"/>
        <v>27432</v>
      </c>
      <c r="AD189" s="168">
        <f t="shared" si="132"/>
        <v>0</v>
      </c>
      <c r="AE189" s="168">
        <f t="shared" si="132"/>
        <v>0</v>
      </c>
      <c r="AF189" s="168">
        <f t="shared" si="132"/>
        <v>0</v>
      </c>
      <c r="AG189" s="168">
        <f t="shared" si="133"/>
        <v>0</v>
      </c>
      <c r="AH189" s="168">
        <f t="shared" si="133"/>
        <v>0</v>
      </c>
      <c r="AI189" s="168">
        <f t="shared" si="133"/>
        <v>33720</v>
      </c>
      <c r="AJ189" s="168">
        <f t="shared" si="133"/>
        <v>0</v>
      </c>
      <c r="AK189" s="168">
        <f t="shared" si="133"/>
        <v>0</v>
      </c>
      <c r="AL189" s="168">
        <f t="shared" si="133"/>
        <v>0</v>
      </c>
      <c r="AM189" s="168">
        <f t="shared" si="133"/>
        <v>0</v>
      </c>
      <c r="AN189" s="168">
        <f t="shared" si="133"/>
        <v>0</v>
      </c>
      <c r="AO189" s="168">
        <f t="shared" si="133"/>
        <v>0</v>
      </c>
      <c r="AP189" s="168">
        <f t="shared" si="133"/>
        <v>0</v>
      </c>
      <c r="AQ189" s="170"/>
      <c r="AR189" s="171">
        <f t="shared" si="118"/>
        <v>101622.0001</v>
      </c>
      <c r="AT189" s="166">
        <f t="shared" si="119"/>
        <v>2018</v>
      </c>
      <c r="AU189" s="166">
        <f t="shared" si="120"/>
        <v>0</v>
      </c>
      <c r="AV189" s="166">
        <v>30</v>
      </c>
      <c r="AW189" s="241">
        <f t="shared" si="121"/>
        <v>0</v>
      </c>
      <c r="AX189" s="166">
        <f t="shared" si="122"/>
        <v>0</v>
      </c>
      <c r="AY189" s="166">
        <f t="shared" si="123"/>
        <v>0</v>
      </c>
      <c r="AZ189" s="242">
        <f t="shared" si="124"/>
        <v>0</v>
      </c>
      <c r="BA189" s="234">
        <f t="shared" si="104"/>
        <v>0</v>
      </c>
      <c r="BB189" s="235">
        <f t="shared" si="105"/>
        <v>0</v>
      </c>
      <c r="BC189" s="235">
        <f t="shared" si="106"/>
        <v>0</v>
      </c>
      <c r="BD189" s="236">
        <f t="shared" si="107"/>
        <v>1</v>
      </c>
    </row>
    <row r="190" spans="1:56" s="163" customFormat="1">
      <c r="A190" s="163" t="s">
        <v>233</v>
      </c>
      <c r="B190" s="163" t="s">
        <v>236</v>
      </c>
      <c r="C190" s="163" t="s">
        <v>6</v>
      </c>
      <c r="D190" s="176">
        <v>2767</v>
      </c>
      <c r="E190" s="177">
        <f t="shared" si="134"/>
        <v>2019</v>
      </c>
      <c r="F190" s="203">
        <f t="shared" si="135"/>
        <v>8301</v>
      </c>
      <c r="G190" s="167">
        <v>0</v>
      </c>
      <c r="H190" s="206">
        <f t="shared" si="114"/>
        <v>8591.5349999999999</v>
      </c>
      <c r="I190" s="166">
        <v>2018</v>
      </c>
      <c r="J190" s="166"/>
      <c r="K190" s="177">
        <f t="shared" si="136"/>
        <v>6</v>
      </c>
      <c r="L190" s="169"/>
      <c r="M190" s="168">
        <f t="shared" si="131"/>
        <v>0</v>
      </c>
      <c r="N190" s="168">
        <f t="shared" si="131"/>
        <v>0</v>
      </c>
      <c r="O190" s="168">
        <f t="shared" si="131"/>
        <v>0</v>
      </c>
      <c r="P190" s="168">
        <f t="shared" si="131"/>
        <v>0</v>
      </c>
      <c r="Q190" s="168">
        <f t="shared" si="131"/>
        <v>9859</v>
      </c>
      <c r="R190" s="168">
        <f t="shared" si="131"/>
        <v>0</v>
      </c>
      <c r="S190" s="168">
        <f t="shared" si="131"/>
        <v>0</v>
      </c>
      <c r="T190" s="168">
        <f t="shared" si="131"/>
        <v>0</v>
      </c>
      <c r="U190" s="168">
        <f t="shared" si="131"/>
        <v>0</v>
      </c>
      <c r="V190" s="168">
        <f t="shared" si="131"/>
        <v>0</v>
      </c>
      <c r="W190" s="168">
        <f t="shared" si="132"/>
        <v>12119</v>
      </c>
      <c r="X190" s="168">
        <f t="shared" si="132"/>
        <v>0</v>
      </c>
      <c r="Y190" s="168">
        <f t="shared" si="132"/>
        <v>0</v>
      </c>
      <c r="Z190" s="168">
        <f t="shared" si="132"/>
        <v>0</v>
      </c>
      <c r="AA190" s="168">
        <f t="shared" si="132"/>
        <v>0</v>
      </c>
      <c r="AB190" s="168">
        <f t="shared" si="132"/>
        <v>0</v>
      </c>
      <c r="AC190" s="168">
        <f t="shared" si="132"/>
        <v>14898</v>
      </c>
      <c r="AD190" s="168">
        <f t="shared" si="132"/>
        <v>0</v>
      </c>
      <c r="AE190" s="168">
        <f t="shared" si="132"/>
        <v>0</v>
      </c>
      <c r="AF190" s="168">
        <f t="shared" si="132"/>
        <v>0</v>
      </c>
      <c r="AG190" s="168">
        <f t="shared" si="133"/>
        <v>0</v>
      </c>
      <c r="AH190" s="168">
        <f t="shared" si="133"/>
        <v>0</v>
      </c>
      <c r="AI190" s="168">
        <f t="shared" si="133"/>
        <v>18313</v>
      </c>
      <c r="AJ190" s="168">
        <f t="shared" si="133"/>
        <v>0</v>
      </c>
      <c r="AK190" s="168">
        <f t="shared" si="133"/>
        <v>0</v>
      </c>
      <c r="AL190" s="168">
        <f t="shared" si="133"/>
        <v>0</v>
      </c>
      <c r="AM190" s="168">
        <f t="shared" si="133"/>
        <v>0</v>
      </c>
      <c r="AN190" s="168">
        <f t="shared" si="133"/>
        <v>0</v>
      </c>
      <c r="AO190" s="168">
        <f t="shared" si="133"/>
        <v>0</v>
      </c>
      <c r="AP190" s="168">
        <f t="shared" si="133"/>
        <v>0</v>
      </c>
      <c r="AQ190" s="170"/>
      <c r="AR190" s="171">
        <f t="shared" si="118"/>
        <v>55189.000099999997</v>
      </c>
      <c r="AT190" s="166">
        <f t="shared" si="119"/>
        <v>2018</v>
      </c>
      <c r="AU190" s="166">
        <f t="shared" si="120"/>
        <v>0</v>
      </c>
      <c r="AV190" s="166">
        <v>30</v>
      </c>
      <c r="AW190" s="241">
        <f t="shared" si="121"/>
        <v>0</v>
      </c>
      <c r="AX190" s="166">
        <f t="shared" si="122"/>
        <v>0</v>
      </c>
      <c r="AY190" s="166">
        <f t="shared" si="123"/>
        <v>0</v>
      </c>
      <c r="AZ190" s="242">
        <f t="shared" si="124"/>
        <v>0</v>
      </c>
      <c r="BA190" s="234">
        <f t="shared" si="104"/>
        <v>0</v>
      </c>
      <c r="BB190" s="235">
        <f t="shared" si="105"/>
        <v>0</v>
      </c>
      <c r="BC190" s="235">
        <f t="shared" si="106"/>
        <v>0</v>
      </c>
      <c r="BD190" s="236">
        <f t="shared" si="107"/>
        <v>1</v>
      </c>
    </row>
    <row r="191" spans="1:56" s="163" customFormat="1" ht="16.25" customHeight="1">
      <c r="A191" s="163" t="s">
        <v>233</v>
      </c>
      <c r="B191" s="163" t="s">
        <v>236</v>
      </c>
      <c r="C191" s="163" t="s">
        <v>5</v>
      </c>
      <c r="D191" s="176">
        <v>7026</v>
      </c>
      <c r="E191" s="177">
        <f t="shared" si="134"/>
        <v>2019</v>
      </c>
      <c r="F191" s="203">
        <f t="shared" si="135"/>
        <v>21078</v>
      </c>
      <c r="G191" s="167">
        <v>0</v>
      </c>
      <c r="H191" s="206">
        <f t="shared" si="114"/>
        <v>21815.73</v>
      </c>
      <c r="I191" s="166">
        <v>2010</v>
      </c>
      <c r="J191" s="166">
        <f>-1+6</f>
        <v>5</v>
      </c>
      <c r="K191" s="177">
        <f t="shared" si="136"/>
        <v>6</v>
      </c>
      <c r="L191" s="169"/>
      <c r="M191" s="168">
        <f t="shared" si="131"/>
        <v>0</v>
      </c>
      <c r="N191" s="168">
        <f t="shared" si="131"/>
        <v>22579</v>
      </c>
      <c r="O191" s="168">
        <f t="shared" si="131"/>
        <v>0</v>
      </c>
      <c r="P191" s="168">
        <f t="shared" si="131"/>
        <v>0</v>
      </c>
      <c r="Q191" s="168">
        <f t="shared" si="131"/>
        <v>0</v>
      </c>
      <c r="R191" s="168">
        <f t="shared" si="131"/>
        <v>0</v>
      </c>
      <c r="S191" s="168">
        <f t="shared" si="131"/>
        <v>0</v>
      </c>
      <c r="T191" s="168">
        <f t="shared" si="131"/>
        <v>27756</v>
      </c>
      <c r="U191" s="168">
        <f t="shared" si="131"/>
        <v>0</v>
      </c>
      <c r="V191" s="168">
        <f t="shared" si="131"/>
        <v>0</v>
      </c>
      <c r="W191" s="168">
        <f t="shared" si="132"/>
        <v>0</v>
      </c>
      <c r="X191" s="168">
        <f t="shared" si="132"/>
        <v>0</v>
      </c>
      <c r="Y191" s="168">
        <f t="shared" si="132"/>
        <v>0</v>
      </c>
      <c r="Z191" s="168">
        <f t="shared" si="132"/>
        <v>34119</v>
      </c>
      <c r="AA191" s="168">
        <f t="shared" si="132"/>
        <v>0</v>
      </c>
      <c r="AB191" s="168">
        <f t="shared" si="132"/>
        <v>0</v>
      </c>
      <c r="AC191" s="168">
        <f t="shared" si="132"/>
        <v>0</v>
      </c>
      <c r="AD191" s="168">
        <f t="shared" si="132"/>
        <v>0</v>
      </c>
      <c r="AE191" s="168">
        <f t="shared" si="132"/>
        <v>0</v>
      </c>
      <c r="AF191" s="168">
        <f t="shared" si="132"/>
        <v>41941</v>
      </c>
      <c r="AG191" s="168">
        <f t="shared" si="133"/>
        <v>0</v>
      </c>
      <c r="AH191" s="168">
        <f t="shared" si="133"/>
        <v>0</v>
      </c>
      <c r="AI191" s="168">
        <f t="shared" si="133"/>
        <v>0</v>
      </c>
      <c r="AJ191" s="168">
        <f t="shared" si="133"/>
        <v>0</v>
      </c>
      <c r="AK191" s="168">
        <f t="shared" si="133"/>
        <v>0</v>
      </c>
      <c r="AL191" s="168">
        <f t="shared" si="133"/>
        <v>0</v>
      </c>
      <c r="AM191" s="168">
        <f t="shared" si="133"/>
        <v>0</v>
      </c>
      <c r="AN191" s="168">
        <f t="shared" si="133"/>
        <v>0</v>
      </c>
      <c r="AO191" s="168">
        <f t="shared" si="133"/>
        <v>0</v>
      </c>
      <c r="AP191" s="168">
        <f t="shared" si="133"/>
        <v>0</v>
      </c>
      <c r="AQ191" s="170"/>
      <c r="AR191" s="171">
        <f t="shared" ref="AR191" si="137">SUM(L191:AQ191)+0.0001</f>
        <v>126395.0001</v>
      </c>
      <c r="AT191" s="166">
        <f t="shared" si="119"/>
        <v>2010</v>
      </c>
      <c r="AU191" s="166">
        <f t="shared" si="120"/>
        <v>5</v>
      </c>
      <c r="AV191" s="166">
        <v>30</v>
      </c>
      <c r="AW191" s="241">
        <f t="shared" si="121"/>
        <v>0</v>
      </c>
      <c r="AX191" s="166">
        <f t="shared" si="122"/>
        <v>0</v>
      </c>
      <c r="AY191" s="166">
        <f t="shared" si="123"/>
        <v>0</v>
      </c>
      <c r="AZ191" s="242">
        <f t="shared" si="124"/>
        <v>0</v>
      </c>
      <c r="BA191" s="234">
        <f t="shared" si="104"/>
        <v>0</v>
      </c>
      <c r="BB191" s="235">
        <f t="shared" si="105"/>
        <v>0</v>
      </c>
      <c r="BC191" s="235">
        <f t="shared" si="106"/>
        <v>0</v>
      </c>
      <c r="BD191" s="236">
        <f t="shared" si="107"/>
        <v>1</v>
      </c>
    </row>
    <row r="192" spans="1:56" s="189" customFormat="1" ht="6" customHeight="1" thickBot="1">
      <c r="G192" s="189">
        <v>0</v>
      </c>
      <c r="AW192" s="243"/>
      <c r="AX192" s="243"/>
      <c r="AY192" s="243"/>
      <c r="AZ192" s="243"/>
      <c r="BA192" s="237"/>
      <c r="BB192" s="237"/>
      <c r="BC192" s="237"/>
      <c r="BD192" s="243"/>
    </row>
    <row r="193" spans="1:56" s="163" customFormat="1" ht="16" thickBot="1">
      <c r="A193" s="190"/>
      <c r="B193" s="190" t="s">
        <v>157</v>
      </c>
      <c r="C193" s="191"/>
      <c r="D193" s="192"/>
      <c r="E193" s="192"/>
      <c r="F193" s="193">
        <f>SUM(F3:F192)</f>
        <v>6260012.5200000005</v>
      </c>
      <c r="G193" s="193">
        <f>SUM(G3:G192)</f>
        <v>193238</v>
      </c>
      <c r="H193" s="193">
        <f>SUM(H3:H192)</f>
        <v>6973860.6725589614</v>
      </c>
      <c r="I193" s="194"/>
      <c r="J193" s="194"/>
      <c r="K193" s="194"/>
      <c r="L193" s="195"/>
      <c r="M193" s="196">
        <f t="shared" ref="M193:AP193" si="138">SUM(M3:M192)</f>
        <v>304394</v>
      </c>
      <c r="N193" s="196">
        <f t="shared" si="138"/>
        <v>145845</v>
      </c>
      <c r="O193" s="196">
        <f t="shared" si="138"/>
        <v>631634</v>
      </c>
      <c r="P193" s="196">
        <f t="shared" si="138"/>
        <v>302593</v>
      </c>
      <c r="Q193" s="196">
        <f t="shared" si="138"/>
        <v>475953</v>
      </c>
      <c r="R193" s="196">
        <f t="shared" si="138"/>
        <v>47427</v>
      </c>
      <c r="S193" s="196">
        <f t="shared" si="138"/>
        <v>124936</v>
      </c>
      <c r="T193" s="196">
        <f t="shared" si="138"/>
        <v>1623354</v>
      </c>
      <c r="U193" s="196">
        <f t="shared" si="138"/>
        <v>350396</v>
      </c>
      <c r="V193" s="196">
        <f t="shared" si="138"/>
        <v>147977</v>
      </c>
      <c r="W193" s="196">
        <f t="shared" si="138"/>
        <v>344573</v>
      </c>
      <c r="X193" s="196">
        <f t="shared" si="138"/>
        <v>443060</v>
      </c>
      <c r="Y193" s="196">
        <f t="shared" si="138"/>
        <v>1143854</v>
      </c>
      <c r="Z193" s="196">
        <f t="shared" si="138"/>
        <v>279251</v>
      </c>
      <c r="AA193" s="196">
        <f t="shared" si="138"/>
        <v>232216</v>
      </c>
      <c r="AB193" s="196">
        <f t="shared" si="138"/>
        <v>516411</v>
      </c>
      <c r="AC193" s="196">
        <f t="shared" si="138"/>
        <v>1400280</v>
      </c>
      <c r="AD193" s="196">
        <f t="shared" si="138"/>
        <v>1136434</v>
      </c>
      <c r="AE193" s="196">
        <f t="shared" si="138"/>
        <v>636714</v>
      </c>
      <c r="AF193" s="196">
        <f t="shared" si="138"/>
        <v>827311</v>
      </c>
      <c r="AG193" s="196">
        <f t="shared" si="138"/>
        <v>544151</v>
      </c>
      <c r="AH193" s="196">
        <f t="shared" si="138"/>
        <v>244477</v>
      </c>
      <c r="AI193" s="196">
        <f t="shared" si="138"/>
        <v>3484671</v>
      </c>
      <c r="AJ193" s="196">
        <f t="shared" si="138"/>
        <v>650782</v>
      </c>
      <c r="AK193" s="196">
        <f t="shared" si="138"/>
        <v>963308</v>
      </c>
      <c r="AL193" s="196">
        <f t="shared" si="138"/>
        <v>371409</v>
      </c>
      <c r="AM193" s="196">
        <f t="shared" si="138"/>
        <v>446228</v>
      </c>
      <c r="AN193" s="196">
        <f t="shared" si="138"/>
        <v>308540</v>
      </c>
      <c r="AO193" s="196">
        <f t="shared" si="138"/>
        <v>1136901</v>
      </c>
      <c r="AP193" s="196">
        <f t="shared" si="138"/>
        <v>336129</v>
      </c>
      <c r="AQ193" s="196"/>
      <c r="AR193" s="196">
        <f>ROUND(SUM(AR3:AR192),0)+0.001</f>
        <v>19601209.000999998</v>
      </c>
      <c r="AS193" s="196"/>
      <c r="AT193" s="196"/>
      <c r="AU193" s="196"/>
      <c r="AV193" s="196"/>
      <c r="AW193" s="197">
        <f>SUM(AW3:AW184)</f>
        <v>6</v>
      </c>
      <c r="AX193" s="198">
        <f>SUM(AX3:AX184)</f>
        <v>5</v>
      </c>
      <c r="AY193" s="198">
        <f>SUM(AY3:AY184)</f>
        <v>95</v>
      </c>
      <c r="AZ193" s="199">
        <f>SUM(AZ3:AZ184)</f>
        <v>0</v>
      </c>
      <c r="BA193" s="227">
        <f>SUM(BA3:BA191)</f>
        <v>81</v>
      </c>
      <c r="BB193" s="228">
        <f>SUM(BB3:BB191)</f>
        <v>19</v>
      </c>
      <c r="BC193" s="228">
        <f>SUM(BC3:BC191)</f>
        <v>61</v>
      </c>
      <c r="BD193" s="229">
        <f>SUM(BD3:BD191)</f>
        <v>27</v>
      </c>
    </row>
    <row r="194" spans="1:56" ht="15" customHeight="1">
      <c r="B194" s="115" t="s">
        <v>252</v>
      </c>
      <c r="G194" s="129">
        <f>-SUMPRODUCT(G3:G192,$AZ3:$AZ192)</f>
        <v>0</v>
      </c>
      <c r="H194" s="129"/>
      <c r="L194" s="97"/>
      <c r="M194" s="129">
        <f t="shared" ref="M194:AP194" si="139">-SUMPRODUCT(M3:M192,$AZ3:$AZ192)</f>
        <v>0</v>
      </c>
      <c r="N194" s="129">
        <f t="shared" si="139"/>
        <v>0</v>
      </c>
      <c r="O194" s="129">
        <f t="shared" si="139"/>
        <v>0</v>
      </c>
      <c r="P194" s="129">
        <f t="shared" si="139"/>
        <v>0</v>
      </c>
      <c r="Q194" s="129">
        <f t="shared" si="139"/>
        <v>0</v>
      </c>
      <c r="R194" s="129">
        <f t="shared" si="139"/>
        <v>0</v>
      </c>
      <c r="S194" s="129">
        <f t="shared" si="139"/>
        <v>0</v>
      </c>
      <c r="T194" s="129">
        <f t="shared" si="139"/>
        <v>0</v>
      </c>
      <c r="U194" s="129">
        <f t="shared" si="139"/>
        <v>0</v>
      </c>
      <c r="V194" s="129">
        <f t="shared" si="139"/>
        <v>0</v>
      </c>
      <c r="W194" s="129">
        <f t="shared" si="139"/>
        <v>0</v>
      </c>
      <c r="X194" s="129">
        <f t="shared" si="139"/>
        <v>0</v>
      </c>
      <c r="Y194" s="129">
        <f t="shared" si="139"/>
        <v>0</v>
      </c>
      <c r="Z194" s="129">
        <f t="shared" si="139"/>
        <v>0</v>
      </c>
      <c r="AA194" s="129">
        <f t="shared" si="139"/>
        <v>0</v>
      </c>
      <c r="AB194" s="129">
        <f t="shared" si="139"/>
        <v>0</v>
      </c>
      <c r="AC194" s="129">
        <f t="shared" si="139"/>
        <v>0</v>
      </c>
      <c r="AD194" s="129">
        <f t="shared" si="139"/>
        <v>0</v>
      </c>
      <c r="AE194" s="129">
        <f t="shared" si="139"/>
        <v>0</v>
      </c>
      <c r="AF194" s="129">
        <f t="shared" si="139"/>
        <v>0</v>
      </c>
      <c r="AG194" s="129">
        <f t="shared" si="139"/>
        <v>0</v>
      </c>
      <c r="AH194" s="129">
        <f t="shared" si="139"/>
        <v>0</v>
      </c>
      <c r="AI194" s="129">
        <f t="shared" si="139"/>
        <v>0</v>
      </c>
      <c r="AJ194" s="129">
        <f t="shared" si="139"/>
        <v>0</v>
      </c>
      <c r="AK194" s="129">
        <f t="shared" si="139"/>
        <v>0</v>
      </c>
      <c r="AL194" s="129">
        <f t="shared" si="139"/>
        <v>0</v>
      </c>
      <c r="AM194" s="129">
        <f t="shared" si="139"/>
        <v>0</v>
      </c>
      <c r="AN194" s="129">
        <f t="shared" si="139"/>
        <v>0</v>
      </c>
      <c r="AO194" s="129">
        <f t="shared" si="139"/>
        <v>0</v>
      </c>
      <c r="AP194" s="129">
        <f t="shared" si="139"/>
        <v>0</v>
      </c>
      <c r="AQ194" s="115"/>
      <c r="AR194" s="130">
        <f>SUM(L194:AQ194)</f>
        <v>0</v>
      </c>
      <c r="AT194" s="131"/>
      <c r="AU194" s="131"/>
    </row>
    <row r="195" spans="1:56" ht="15" customHeight="1">
      <c r="B195" s="115" t="s">
        <v>253</v>
      </c>
      <c r="G195" s="129">
        <f>-IF(BondUseYear=Components!G1,IF(PropertyTaxUse=1,SUMPRODUCT(G3:G192,$AY3:$AY192),0),0)</f>
        <v>0</v>
      </c>
      <c r="H195" s="129"/>
      <c r="L195" s="97"/>
      <c r="M195" s="129">
        <f>-IF(BondUseYear=Components!M1,IF(PropertyTaxUse=1,SUMPRODUCT(M3:M192,$AY3:$AY192)+SUMPRODUCT(L3:L192,$AY3:$AY192)+SUMPRODUCT(N3:N192,$AY3:$AY192),0),0)</f>
        <v>0</v>
      </c>
      <c r="N195" s="129">
        <f>-IF(BondUseYear=Components!N1,IF(PropertyTaxUse=1,SUMPRODUCT(N3:N192,$AY3:$AY192)+SUMPRODUCT(M3:M192,$AY3:$AY192)+SUMPRODUCT(O3:O192,$AY3:$AY192),0),0)</f>
        <v>0</v>
      </c>
      <c r="O195" s="129">
        <f>-IF(BondUseYear=Components!O1,IF(PropertyTaxUse=1,SUMPRODUCT(O3:O192,$AY3:$AY192)+SUMPRODUCT(N3:N192,$AY3:$AY192)+SUMPRODUCT(P3:P192,$AY3:$AY192),0),0)</f>
        <v>0</v>
      </c>
      <c r="P195" s="129">
        <f>-IF(BondUseYear=Components!P1,IF(PropertyTaxUse=1,SUMPRODUCT(P3:P192,$AY3:$AY192)+SUMPRODUCT(O3:O192,$AY3:$AY192)+SUMPRODUCT(Q3:Q192,$AY3:$AY192),0),0)</f>
        <v>0</v>
      </c>
      <c r="Q195" s="129">
        <f>-IF(BondUseYear=Components!Q1,IF(PropertyTaxUse=1,SUMPRODUCT(Q3:Q192,$AY3:$AY192)+SUMPRODUCT(P3:P192,$AY3:$AY192)+SUMPRODUCT(R3:R192,$AY3:$AY192),0),0)</f>
        <v>0</v>
      </c>
      <c r="R195" s="129">
        <f>-IF(BondUseYear=Components!R1,IF(PropertyTaxUse=1,SUMPRODUCT(R3:R192,$AY3:$AY192)+SUMPRODUCT(Q3:Q192,$AY3:$AY192)+SUMPRODUCT(S3:S192,$AY3:$AY192),0),0)</f>
        <v>0</v>
      </c>
      <c r="S195" s="129">
        <f>-IF(BondUseYear=Components!S1,IF(PropertyTaxUse=1,SUMPRODUCT(S3:S192,$AY3:$AY192)+SUMPRODUCT(R3:R192,$AY3:$AY192)+SUMPRODUCT(T3:T192,$AY3:$AY192),0),0)</f>
        <v>0</v>
      </c>
      <c r="T195" s="129">
        <f>-IF(BondUseYear=Components!T1,IF(PropertyTaxUse=1,SUMPRODUCT(T3:T192,$AY3:$AY192)+SUMPRODUCT(S3:S192,$AY3:$AY192)+SUMPRODUCT(U3:U192,$AY3:$AY192),0),0)</f>
        <v>0</v>
      </c>
      <c r="U195" s="129">
        <f>-IF(BondUseYear=Components!U1,IF(PropertyTaxUse=1,SUMPRODUCT(U3:U192,$AY3:$AY192)+SUMPRODUCT(T3:T192,$AY3:$AY192)+SUMPRODUCT(V3:V192,$AY3:$AY192),0),0)</f>
        <v>0</v>
      </c>
      <c r="V195" s="129">
        <f>-IF(BondUseYear=Components!V1,IF(PropertyTaxUse=1,SUMPRODUCT(V3:V192,$AY3:$AY192)+SUMPRODUCT(U3:U192,$AY3:$AY192)+SUMPRODUCT(W3:W192,$AY3:$AY192),0),0)</f>
        <v>0</v>
      </c>
      <c r="W195" s="129">
        <f>-IF(BondUseYear=Components!W1,IF(PropertyTaxUse=1,SUMPRODUCT(W3:W192,$AY3:$AY192)+SUMPRODUCT(V3:V192,$AY3:$AY192)+SUMPRODUCT(X3:X192,$AY3:$AY192),0),0)</f>
        <v>0</v>
      </c>
      <c r="X195" s="129">
        <f>-IF(BondUseYear=Components!X1,IF(PropertyTaxUse=1,SUMPRODUCT(X3:X192,$AY3:$AY192)+SUMPRODUCT(W3:W192,$AY3:$AY192)+SUMPRODUCT(Y3:Y192,$AY3:$AY192),0),0)</f>
        <v>0</v>
      </c>
      <c r="Y195" s="129">
        <f>-IF(BondUseYear=Components!Y1,IF(PropertyTaxUse=1,SUMPRODUCT(Y3:Y192,$AY3:$AY192)+SUMPRODUCT(X3:X192,$AY3:$AY192)+SUMPRODUCT(Z3:Z192,$AY3:$AY192),0),0)</f>
        <v>0</v>
      </c>
      <c r="Z195" s="129">
        <f>-IF(BondUseYear=Components!Z1,IF(PropertyTaxUse=1,SUMPRODUCT(Z3:Z192,$AY3:$AY192)+SUMPRODUCT(Y3:Y192,$AY3:$AY192)+SUMPRODUCT(AA3:AA192,$AY3:$AY192),0),0)</f>
        <v>0</v>
      </c>
      <c r="AA195" s="129">
        <f>-IF(BondUseYear=Components!AA1,IF(PropertyTaxUse=1,SUMPRODUCT(AA3:AA192,$AY3:$AY192)+SUMPRODUCT(Z3:Z192,$AY3:$AY192)+SUMPRODUCT(AB3:AB192,$AY3:$AY192),0),0)</f>
        <v>0</v>
      </c>
      <c r="AB195" s="129">
        <f>-IF(BondUseYear=Components!AB1,IF(PropertyTaxUse=1,SUMPRODUCT(AB3:AB192,$AY3:$AY192)+SUMPRODUCT(AA3:AA192,$AY3:$AY192)+SUMPRODUCT(AC3:AC192,$AY3:$AY192),0),0)</f>
        <v>0</v>
      </c>
      <c r="AC195" s="129">
        <f>-IF(BondUseYear=Components!AC1,IF(PropertyTaxUse=1,SUMPRODUCT(AC3:AC192,$AY3:$AY192)+SUMPRODUCT(AB3:AB192,$AY3:$AY192)+SUMPRODUCT(AD3:AD192,$AY3:$AY192),0),0)</f>
        <v>0</v>
      </c>
      <c r="AD195" s="129">
        <f>-IF(BondUseYear=Components!AD1,IF(PropertyTaxUse=1,SUMPRODUCT(AD3:AD192,$AY3:$AY192)+SUMPRODUCT(AC3:AC192,$AY3:$AY192)+SUMPRODUCT(AE3:AE192,$AY3:$AY192),0),0)</f>
        <v>0</v>
      </c>
      <c r="AE195" s="129">
        <f>-IF(BondUseYear=Components!AE1,IF(PropertyTaxUse=1,SUMPRODUCT(AE3:AE192,$AY3:$AY192)+SUMPRODUCT(AD3:AD192,$AY3:$AY192)+SUMPRODUCT(AF3:AF192,$AY3:$AY192),0),0)</f>
        <v>0</v>
      </c>
      <c r="AF195" s="129">
        <f>-IF(BondUseYear=Components!AF1,IF(PropertyTaxUse=1,SUMPRODUCT(AF3:AF192,$AY3:$AY192)+SUMPRODUCT(AE3:AE192,$AY3:$AY192)+SUMPRODUCT(AG3:AG192,$AY3:$AY192),0),0)</f>
        <v>0</v>
      </c>
      <c r="AG195" s="129">
        <f>-IF(BondUseYear=Components!AG1,IF(PropertyTaxUse=1,SUMPRODUCT(AG3:AG192,$AY3:$AY192)+SUMPRODUCT(AF3:AF192,$AY3:$AY192)+SUMPRODUCT(AH3:AH192,$AY3:$AY192),0),0)</f>
        <v>0</v>
      </c>
      <c r="AH195" s="129">
        <f>-IF(BondUseYear=Components!AH1,IF(PropertyTaxUse=1,SUMPRODUCT(AH3:AH192,$AY3:$AY192)+SUMPRODUCT(AG3:AG192,$AY3:$AY192)+SUMPRODUCT(AI3:AI192,$AY3:$AY192),0),0)</f>
        <v>0</v>
      </c>
      <c r="AI195" s="129">
        <f>-IF(BondUseYear=Components!AI1,IF(PropertyTaxUse=1,SUMPRODUCT(AI3:AI192,$AY3:$AY192)+SUMPRODUCT(AH3:AH192,$AY3:$AY192)+SUMPRODUCT(AJ3:AJ192,$AY3:$AY192),0),0)</f>
        <v>-3416417</v>
      </c>
      <c r="AJ195" s="129">
        <f>-IF(BondUseYear=Components!AJ1,IF(PropertyTaxUse=1,SUMPRODUCT(AJ3:AJ192,$AY3:$AY192)+SUMPRODUCT(AI3:AI192,$AY3:$AY192)+SUMPRODUCT(AK3:AK192,$AY3:$AY192),0),0)</f>
        <v>0</v>
      </c>
      <c r="AK195" s="129">
        <f>-IF(BondUseYear=Components!AK1,IF(PropertyTaxUse=1,SUMPRODUCT(AK3:AK192,$AY3:$AY192)+SUMPRODUCT(AJ3:AJ192,$AY3:$AY192)+SUMPRODUCT(AL3:AL192,$AY3:$AY192),0),0)</f>
        <v>0</v>
      </c>
      <c r="AL195" s="129">
        <f>-IF(BondUseYear=Components!AL1,IF(PropertyTaxUse=1,SUMPRODUCT(AL3:AL192,$AY3:$AY192)+SUMPRODUCT(AK3:AK192,$AY3:$AY192)+SUMPRODUCT(AM3:AM192,$AY3:$AY192),0),0)</f>
        <v>0</v>
      </c>
      <c r="AM195" s="129">
        <f>-IF(BondUseYear=Components!AM1,IF(PropertyTaxUse=1,SUMPRODUCT(AM3:AM192,$AY3:$AY192)+SUMPRODUCT(AL3:AL192,$AY3:$AY192)+SUMPRODUCT(AN3:AN192,$AY3:$AY192),0),0)</f>
        <v>0</v>
      </c>
      <c r="AN195" s="129">
        <f>-IF(BondUseYear=Components!AN1,IF(PropertyTaxUse=1,SUMPRODUCT(AN3:AN192,$AY3:$AY192)+SUMPRODUCT(AM3:AM192,$AY3:$AY192)+SUMPRODUCT(AO3:AO192,$AY3:$AY192),0),0)</f>
        <v>0</v>
      </c>
      <c r="AO195" s="129">
        <f>-IF(BondUseYear=Components!AO1,IF(PropertyTaxUse=1,SUMPRODUCT(AO3:AO192,$AY3:$AY192)+SUMPRODUCT(AN3:AN192,$AY3:$AY192)+SUMPRODUCT(AP3:AP192,$AY3:$AY192),0),0)</f>
        <v>0</v>
      </c>
      <c r="AP195" s="129">
        <f>-IF(BondUseYear=Components!AP1,IF(PropertyTaxUse=1,SUMPRODUCT(AP3:AP192,$AY3:$AY192)+SUMPRODUCT(AO3:AO192,$AY3:$AY192)+SUMPRODUCT(AQ3:AQ192,$AY3:$AY192),0),0)</f>
        <v>0</v>
      </c>
      <c r="AQ195" s="115"/>
      <c r="AR195" s="130">
        <f>SUM(L195:AQ195)</f>
        <v>-3416417</v>
      </c>
      <c r="AT195" s="131"/>
      <c r="AU195" s="131"/>
    </row>
    <row r="196" spans="1:56" ht="15" customHeight="1">
      <c r="B196" s="115" t="s">
        <v>254</v>
      </c>
      <c r="G196" s="129">
        <f>IF(LotteryUse=1,-SUMPRODUCT(G3:G192,$AX3:$AX192),0)</f>
        <v>-7927</v>
      </c>
      <c r="H196" s="129"/>
      <c r="L196" s="97"/>
      <c r="M196" s="129">
        <f t="shared" ref="M196:AP196" si="140">IF(LotteryUse=1,-SUMPRODUCT(M3:M192,$AX3:$AX192),0)</f>
        <v>0</v>
      </c>
      <c r="N196" s="129">
        <f t="shared" si="140"/>
        <v>0</v>
      </c>
      <c r="O196" s="129">
        <f t="shared" si="140"/>
        <v>0</v>
      </c>
      <c r="P196" s="129">
        <f t="shared" si="140"/>
        <v>0</v>
      </c>
      <c r="Q196" s="129">
        <f t="shared" si="140"/>
        <v>0</v>
      </c>
      <c r="R196" s="129">
        <f t="shared" si="140"/>
        <v>-17210</v>
      </c>
      <c r="S196" s="129">
        <f t="shared" si="140"/>
        <v>0</v>
      </c>
      <c r="T196" s="129">
        <f t="shared" si="140"/>
        <v>0</v>
      </c>
      <c r="U196" s="129">
        <f t="shared" si="140"/>
        <v>0</v>
      </c>
      <c r="V196" s="129">
        <f t="shared" si="140"/>
        <v>0</v>
      </c>
      <c r="W196" s="129">
        <f t="shared" si="140"/>
        <v>0</v>
      </c>
      <c r="X196" s="129">
        <f t="shared" si="140"/>
        <v>0</v>
      </c>
      <c r="Y196" s="129">
        <f t="shared" si="140"/>
        <v>0</v>
      </c>
      <c r="Z196" s="129">
        <f t="shared" si="140"/>
        <v>-37230</v>
      </c>
      <c r="AA196" s="129">
        <f t="shared" si="140"/>
        <v>0</v>
      </c>
      <c r="AB196" s="129">
        <f t="shared" si="140"/>
        <v>-52022</v>
      </c>
      <c r="AC196" s="129">
        <f t="shared" si="140"/>
        <v>-17947</v>
      </c>
      <c r="AD196" s="129">
        <f t="shared" si="140"/>
        <v>0</v>
      </c>
      <c r="AE196" s="129">
        <f t="shared" si="140"/>
        <v>0</v>
      </c>
      <c r="AF196" s="129">
        <f t="shared" si="140"/>
        <v>0</v>
      </c>
      <c r="AG196" s="129">
        <f t="shared" si="140"/>
        <v>0</v>
      </c>
      <c r="AH196" s="129">
        <f t="shared" si="140"/>
        <v>-29841</v>
      </c>
      <c r="AI196" s="129">
        <f t="shared" si="140"/>
        <v>0</v>
      </c>
      <c r="AJ196" s="129">
        <f t="shared" si="140"/>
        <v>0</v>
      </c>
      <c r="AK196" s="129">
        <f t="shared" si="140"/>
        <v>-18733</v>
      </c>
      <c r="AL196" s="129">
        <f t="shared" si="140"/>
        <v>0</v>
      </c>
      <c r="AM196" s="129">
        <f t="shared" si="140"/>
        <v>0</v>
      </c>
      <c r="AN196" s="129">
        <f t="shared" si="140"/>
        <v>0</v>
      </c>
      <c r="AO196" s="129">
        <f t="shared" si="140"/>
        <v>0</v>
      </c>
      <c r="AP196" s="129">
        <f t="shared" si="140"/>
        <v>-39295</v>
      </c>
      <c r="AQ196" s="115"/>
      <c r="AR196" s="130">
        <f>SUM(L196:AQ196)</f>
        <v>-212278</v>
      </c>
      <c r="AT196" s="131"/>
      <c r="AU196" s="131"/>
    </row>
    <row r="197" spans="1:56" ht="15" customHeight="1" thickBot="1">
      <c r="B197" s="115" t="s">
        <v>255</v>
      </c>
      <c r="G197" s="129">
        <f>-SUMPRODUCT(G3:G192,$AW3:$AW192)</f>
        <v>0</v>
      </c>
      <c r="H197" s="131"/>
      <c r="L197" s="97"/>
      <c r="M197" s="129">
        <f t="shared" ref="M197:AP197" si="141">IF(FoundationUse=1,-SUMPRODUCT(M3:M192,$AW3:$AW192),0)</f>
        <v>0</v>
      </c>
      <c r="N197" s="129">
        <f t="shared" si="141"/>
        <v>0</v>
      </c>
      <c r="O197" s="129">
        <f t="shared" si="141"/>
        <v>0</v>
      </c>
      <c r="P197" s="129">
        <f t="shared" si="141"/>
        <v>0</v>
      </c>
      <c r="Q197" s="129">
        <f t="shared" si="141"/>
        <v>0</v>
      </c>
      <c r="R197" s="129">
        <f t="shared" si="141"/>
        <v>0</v>
      </c>
      <c r="S197" s="129">
        <f t="shared" si="141"/>
        <v>0</v>
      </c>
      <c r="T197" s="129">
        <f t="shared" si="141"/>
        <v>0</v>
      </c>
      <c r="U197" s="129">
        <f t="shared" si="141"/>
        <v>0</v>
      </c>
      <c r="V197" s="129">
        <f t="shared" si="141"/>
        <v>0</v>
      </c>
      <c r="W197" s="129">
        <f t="shared" si="141"/>
        <v>0</v>
      </c>
      <c r="X197" s="129">
        <f t="shared" si="141"/>
        <v>0</v>
      </c>
      <c r="Y197" s="129">
        <f t="shared" si="141"/>
        <v>0</v>
      </c>
      <c r="Z197" s="129">
        <f t="shared" si="141"/>
        <v>0</v>
      </c>
      <c r="AA197" s="129">
        <f t="shared" si="141"/>
        <v>0</v>
      </c>
      <c r="AB197" s="129">
        <f t="shared" si="141"/>
        <v>0</v>
      </c>
      <c r="AC197" s="129">
        <f t="shared" si="141"/>
        <v>0</v>
      </c>
      <c r="AD197" s="129">
        <f t="shared" si="141"/>
        <v>0</v>
      </c>
      <c r="AE197" s="129">
        <f t="shared" si="141"/>
        <v>0</v>
      </c>
      <c r="AF197" s="129">
        <f t="shared" si="141"/>
        <v>0</v>
      </c>
      <c r="AG197" s="129">
        <f t="shared" si="141"/>
        <v>0</v>
      </c>
      <c r="AH197" s="129">
        <f t="shared" si="141"/>
        <v>0</v>
      </c>
      <c r="AI197" s="129">
        <f t="shared" si="141"/>
        <v>0</v>
      </c>
      <c r="AJ197" s="129">
        <f t="shared" si="141"/>
        <v>0</v>
      </c>
      <c r="AK197" s="129">
        <f t="shared" si="141"/>
        <v>0</v>
      </c>
      <c r="AL197" s="129">
        <f t="shared" si="141"/>
        <v>0</v>
      </c>
      <c r="AM197" s="129">
        <f t="shared" si="141"/>
        <v>0</v>
      </c>
      <c r="AN197" s="129">
        <f t="shared" si="141"/>
        <v>0</v>
      </c>
      <c r="AO197" s="129">
        <f t="shared" si="141"/>
        <v>0</v>
      </c>
      <c r="AP197" s="129">
        <f t="shared" si="141"/>
        <v>0</v>
      </c>
      <c r="AQ197" s="115"/>
      <c r="AR197" s="130">
        <f>SUM(L197:AQ197)</f>
        <v>0</v>
      </c>
      <c r="AT197" s="131"/>
      <c r="AU197" s="131"/>
    </row>
    <row r="198" spans="1:56" ht="17" customHeight="1" thickBot="1">
      <c r="A198" s="127"/>
      <c r="B198" s="127" t="s">
        <v>251</v>
      </c>
      <c r="C198" s="127"/>
      <c r="G198" s="128">
        <f>SUM(G193:G197)</f>
        <v>185311</v>
      </c>
      <c r="H198" s="131"/>
      <c r="L198" s="97"/>
      <c r="M198" s="128">
        <f>SUM(M193:M197)</f>
        <v>304394</v>
      </c>
      <c r="N198" s="128">
        <f t="shared" ref="N198:AR198" si="142">SUM(N193:N197)</f>
        <v>145845</v>
      </c>
      <c r="O198" s="128">
        <f t="shared" si="142"/>
        <v>631634</v>
      </c>
      <c r="P198" s="128">
        <f t="shared" si="142"/>
        <v>302593</v>
      </c>
      <c r="Q198" s="128">
        <f t="shared" si="142"/>
        <v>475953</v>
      </c>
      <c r="R198" s="128">
        <f t="shared" si="142"/>
        <v>30217</v>
      </c>
      <c r="S198" s="128">
        <f t="shared" si="142"/>
        <v>124936</v>
      </c>
      <c r="T198" s="128">
        <f t="shared" si="142"/>
        <v>1623354</v>
      </c>
      <c r="U198" s="128">
        <f t="shared" si="142"/>
        <v>350396</v>
      </c>
      <c r="V198" s="128">
        <f t="shared" si="142"/>
        <v>147977</v>
      </c>
      <c r="W198" s="128">
        <f t="shared" si="142"/>
        <v>344573</v>
      </c>
      <c r="X198" s="128">
        <f t="shared" si="142"/>
        <v>443060</v>
      </c>
      <c r="Y198" s="128">
        <f t="shared" si="142"/>
        <v>1143854</v>
      </c>
      <c r="Z198" s="128">
        <f t="shared" si="142"/>
        <v>242021</v>
      </c>
      <c r="AA198" s="128">
        <f t="shared" si="142"/>
        <v>232216</v>
      </c>
      <c r="AB198" s="128">
        <f t="shared" si="142"/>
        <v>464389</v>
      </c>
      <c r="AC198" s="128">
        <f t="shared" si="142"/>
        <v>1382333</v>
      </c>
      <c r="AD198" s="128">
        <f t="shared" si="142"/>
        <v>1136434</v>
      </c>
      <c r="AE198" s="128">
        <f t="shared" si="142"/>
        <v>636714</v>
      </c>
      <c r="AF198" s="128">
        <f t="shared" si="142"/>
        <v>827311</v>
      </c>
      <c r="AG198" s="128">
        <f t="shared" si="142"/>
        <v>544151</v>
      </c>
      <c r="AH198" s="128">
        <f t="shared" si="142"/>
        <v>214636</v>
      </c>
      <c r="AI198" s="128">
        <f t="shared" si="142"/>
        <v>68254</v>
      </c>
      <c r="AJ198" s="128">
        <f t="shared" si="142"/>
        <v>650782</v>
      </c>
      <c r="AK198" s="128">
        <f t="shared" si="142"/>
        <v>944575</v>
      </c>
      <c r="AL198" s="128">
        <f t="shared" si="142"/>
        <v>371409</v>
      </c>
      <c r="AM198" s="128">
        <f t="shared" si="142"/>
        <v>446228</v>
      </c>
      <c r="AN198" s="128">
        <f t="shared" si="142"/>
        <v>308540</v>
      </c>
      <c r="AO198" s="128">
        <f t="shared" si="142"/>
        <v>1136901</v>
      </c>
      <c r="AP198" s="128">
        <f t="shared" si="142"/>
        <v>296834</v>
      </c>
      <c r="AQ198" s="122"/>
      <c r="AR198" s="128">
        <f t="shared" si="142"/>
        <v>15972514.000999998</v>
      </c>
      <c r="AT198" s="131"/>
      <c r="AU198" s="131"/>
    </row>
    <row r="199" spans="1:56" s="220" customFormat="1" ht="17" customHeight="1">
      <c r="B199" s="220" t="s">
        <v>411</v>
      </c>
      <c r="C199" s="81"/>
      <c r="D199" s="81"/>
      <c r="E199" s="81"/>
      <c r="G199" s="129">
        <f>SUMPRODUCT(G$3:G$192,$BA$3:$BA$192)</f>
        <v>67626</v>
      </c>
      <c r="H199" s="131"/>
      <c r="I199" s="81"/>
      <c r="J199" s="81"/>
      <c r="K199" s="81"/>
      <c r="L199" s="97"/>
      <c r="M199" s="129">
        <f>SUMPRODUCT(M$3:M$192,$BA$3:$BA$192)</f>
        <v>20700</v>
      </c>
      <c r="N199" s="129">
        <f t="shared" ref="N199:AP199" si="143">SUMPRODUCT(N$3:N$192,$BA$3:$BA$192)</f>
        <v>83427</v>
      </c>
      <c r="O199" s="129">
        <f t="shared" si="143"/>
        <v>263247</v>
      </c>
      <c r="P199" s="129">
        <f t="shared" si="143"/>
        <v>22002</v>
      </c>
      <c r="Q199" s="129">
        <f t="shared" si="143"/>
        <v>38451</v>
      </c>
      <c r="R199" s="129">
        <f t="shared" si="143"/>
        <v>0</v>
      </c>
      <c r="S199" s="129">
        <f t="shared" si="143"/>
        <v>12950</v>
      </c>
      <c r="T199" s="129">
        <f t="shared" si="143"/>
        <v>1058341</v>
      </c>
      <c r="U199" s="129">
        <f t="shared" si="143"/>
        <v>106725</v>
      </c>
      <c r="V199" s="129">
        <f t="shared" si="143"/>
        <v>134247</v>
      </c>
      <c r="W199" s="129">
        <f t="shared" si="143"/>
        <v>51921</v>
      </c>
      <c r="X199" s="129">
        <f t="shared" si="143"/>
        <v>15380</v>
      </c>
      <c r="Y199" s="129">
        <f t="shared" si="143"/>
        <v>936006</v>
      </c>
      <c r="Z199" s="129">
        <f t="shared" si="143"/>
        <v>66648</v>
      </c>
      <c r="AA199" s="129">
        <f t="shared" si="143"/>
        <v>78768</v>
      </c>
      <c r="AB199" s="129">
        <f t="shared" si="143"/>
        <v>0</v>
      </c>
      <c r="AC199" s="129">
        <f t="shared" si="143"/>
        <v>47359</v>
      </c>
      <c r="AD199" s="129">
        <f t="shared" si="143"/>
        <v>811382</v>
      </c>
      <c r="AE199" s="129">
        <f t="shared" si="143"/>
        <v>46474</v>
      </c>
      <c r="AF199" s="129">
        <f t="shared" si="143"/>
        <v>148401</v>
      </c>
      <c r="AG199" s="129">
        <f t="shared" si="143"/>
        <v>41189</v>
      </c>
      <c r="AH199" s="129">
        <f t="shared" si="143"/>
        <v>21695</v>
      </c>
      <c r="AI199" s="129">
        <f t="shared" si="143"/>
        <v>2345813</v>
      </c>
      <c r="AJ199" s="129">
        <f t="shared" si="143"/>
        <v>167387</v>
      </c>
      <c r="AK199" s="129">
        <f t="shared" si="143"/>
        <v>24054</v>
      </c>
      <c r="AL199" s="129">
        <f t="shared" si="143"/>
        <v>127528</v>
      </c>
      <c r="AM199" s="129">
        <f t="shared" si="143"/>
        <v>25767</v>
      </c>
      <c r="AN199" s="129">
        <f t="shared" si="143"/>
        <v>87178</v>
      </c>
      <c r="AO199" s="129">
        <f t="shared" si="143"/>
        <v>124602</v>
      </c>
      <c r="AP199" s="129">
        <f t="shared" si="143"/>
        <v>224178</v>
      </c>
      <c r="AQ199" s="122"/>
      <c r="AR199" s="130">
        <f t="shared" ref="AR199:AR202" si="144">SUM(L199:AQ199)</f>
        <v>7131820</v>
      </c>
      <c r="AT199" s="131"/>
      <c r="AU199" s="131"/>
      <c r="AW199" s="81"/>
      <c r="AX199" s="81"/>
      <c r="AY199" s="81"/>
      <c r="AZ199" s="81"/>
      <c r="BA199" s="81"/>
      <c r="BB199" s="81"/>
      <c r="BC199" s="81"/>
      <c r="BD199" s="81"/>
    </row>
    <row r="200" spans="1:56" s="220" customFormat="1" ht="17" customHeight="1">
      <c r="B200" s="220" t="s">
        <v>289</v>
      </c>
      <c r="C200" s="81"/>
      <c r="D200" s="81"/>
      <c r="E200" s="81"/>
      <c r="G200" s="129">
        <f>SUMPRODUCT(G$3:G$192,$BB$3:$BB$192)</f>
        <v>45240</v>
      </c>
      <c r="H200" s="131"/>
      <c r="I200" s="81"/>
      <c r="J200" s="81"/>
      <c r="K200" s="81"/>
      <c r="L200" s="97"/>
      <c r="M200" s="129">
        <f>SUMPRODUCT(M$3:M$192,$BB$3:$BB$192)</f>
        <v>10793</v>
      </c>
      <c r="N200" s="129">
        <f t="shared" ref="N200:AP200" si="145">SUMPRODUCT(N$3:N$192,$BB$3:$BB$192)</f>
        <v>0</v>
      </c>
      <c r="O200" s="129">
        <f t="shared" si="145"/>
        <v>27700</v>
      </c>
      <c r="P200" s="129">
        <f t="shared" si="145"/>
        <v>55719</v>
      </c>
      <c r="Q200" s="129">
        <f t="shared" si="145"/>
        <v>0</v>
      </c>
      <c r="R200" s="129">
        <f t="shared" si="145"/>
        <v>12818</v>
      </c>
      <c r="S200" s="129">
        <f t="shared" si="145"/>
        <v>0</v>
      </c>
      <c r="T200" s="129">
        <f t="shared" si="145"/>
        <v>258520</v>
      </c>
      <c r="U200" s="129">
        <f t="shared" si="145"/>
        <v>71225</v>
      </c>
      <c r="V200" s="129">
        <f t="shared" si="145"/>
        <v>0</v>
      </c>
      <c r="W200" s="129">
        <f t="shared" si="145"/>
        <v>15224</v>
      </c>
      <c r="X200" s="129">
        <f t="shared" si="145"/>
        <v>0</v>
      </c>
      <c r="Y200" s="129">
        <f t="shared" si="145"/>
        <v>39074</v>
      </c>
      <c r="Z200" s="129">
        <f t="shared" si="145"/>
        <v>78597</v>
      </c>
      <c r="AA200" s="129">
        <f t="shared" si="145"/>
        <v>0</v>
      </c>
      <c r="AB200" s="129">
        <f t="shared" si="145"/>
        <v>27406</v>
      </c>
      <c r="AC200" s="129">
        <f t="shared" si="145"/>
        <v>0</v>
      </c>
      <c r="AD200" s="129">
        <f t="shared" si="145"/>
        <v>0</v>
      </c>
      <c r="AE200" s="129">
        <f t="shared" si="145"/>
        <v>54511</v>
      </c>
      <c r="AF200" s="129">
        <f t="shared" si="145"/>
        <v>89540</v>
      </c>
      <c r="AG200" s="129">
        <f t="shared" si="145"/>
        <v>21475</v>
      </c>
      <c r="AH200" s="129">
        <f t="shared" si="145"/>
        <v>0</v>
      </c>
      <c r="AI200" s="129">
        <f t="shared" si="145"/>
        <v>575441</v>
      </c>
      <c r="AJ200" s="129">
        <f t="shared" si="145"/>
        <v>177733</v>
      </c>
      <c r="AK200" s="129">
        <f t="shared" si="145"/>
        <v>0</v>
      </c>
      <c r="AL200" s="129">
        <f t="shared" si="145"/>
        <v>25506</v>
      </c>
      <c r="AM200" s="129">
        <f t="shared" si="145"/>
        <v>0</v>
      </c>
      <c r="AN200" s="129">
        <f t="shared" si="145"/>
        <v>0</v>
      </c>
      <c r="AO200" s="129">
        <f t="shared" si="145"/>
        <v>76893</v>
      </c>
      <c r="AP200" s="129">
        <f t="shared" si="145"/>
        <v>0</v>
      </c>
      <c r="AQ200" s="122"/>
      <c r="AR200" s="130">
        <f t="shared" si="144"/>
        <v>1618175</v>
      </c>
      <c r="AT200" s="131"/>
      <c r="AU200" s="131"/>
      <c r="AW200" s="81"/>
      <c r="AX200" s="81"/>
      <c r="AY200" s="81"/>
      <c r="AZ200" s="81"/>
      <c r="BA200" s="81"/>
      <c r="BB200" s="81"/>
      <c r="BC200" s="81"/>
      <c r="BD200" s="81"/>
    </row>
    <row r="201" spans="1:56" s="220" customFormat="1" ht="17" customHeight="1">
      <c r="B201" s="220" t="s">
        <v>412</v>
      </c>
      <c r="C201" s="81"/>
      <c r="D201" s="81"/>
      <c r="E201" s="81"/>
      <c r="G201" s="129">
        <f>SUMPRODUCT(G$3:G$192,$BC$3:$BC$192)</f>
        <v>47165</v>
      </c>
      <c r="H201" s="131"/>
      <c r="I201" s="81"/>
      <c r="J201" s="81"/>
      <c r="K201" s="81"/>
      <c r="L201" s="97"/>
      <c r="M201" s="129">
        <f>SUMPRODUCT(M$3:M$192,$BC$3:$BC$192)</f>
        <v>169430</v>
      </c>
      <c r="N201" s="129">
        <f t="shared" ref="N201:AP201" si="146">SUMPRODUCT(N$3:N$192,$BC$3:$BC$192)</f>
        <v>7047</v>
      </c>
      <c r="O201" s="129">
        <f t="shared" si="146"/>
        <v>319621</v>
      </c>
      <c r="P201" s="129">
        <f t="shared" si="146"/>
        <v>224872</v>
      </c>
      <c r="Q201" s="129">
        <f t="shared" si="146"/>
        <v>380152</v>
      </c>
      <c r="R201" s="129">
        <f t="shared" si="146"/>
        <v>0</v>
      </c>
      <c r="S201" s="129">
        <f t="shared" si="146"/>
        <v>66875</v>
      </c>
      <c r="T201" s="129">
        <f t="shared" si="146"/>
        <v>52812</v>
      </c>
      <c r="U201" s="129">
        <f t="shared" si="146"/>
        <v>172446</v>
      </c>
      <c r="V201" s="129">
        <f t="shared" si="146"/>
        <v>13730</v>
      </c>
      <c r="W201" s="129">
        <f t="shared" si="146"/>
        <v>168980</v>
      </c>
      <c r="X201" s="129">
        <f t="shared" si="146"/>
        <v>247134</v>
      </c>
      <c r="Y201" s="129">
        <f t="shared" si="146"/>
        <v>83606</v>
      </c>
      <c r="Z201" s="129">
        <f t="shared" si="146"/>
        <v>22985</v>
      </c>
      <c r="AA201" s="129">
        <f t="shared" si="146"/>
        <v>126636</v>
      </c>
      <c r="AB201" s="129">
        <f t="shared" si="146"/>
        <v>436983</v>
      </c>
      <c r="AC201" s="129">
        <f t="shared" si="146"/>
        <v>1275085</v>
      </c>
      <c r="AD201" s="129">
        <f t="shared" si="146"/>
        <v>298761</v>
      </c>
      <c r="AE201" s="129">
        <f t="shared" si="146"/>
        <v>467563</v>
      </c>
      <c r="AF201" s="129">
        <f t="shared" si="146"/>
        <v>428042</v>
      </c>
      <c r="AG201" s="129">
        <f t="shared" si="146"/>
        <v>481487</v>
      </c>
      <c r="AH201" s="129">
        <f t="shared" si="146"/>
        <v>192941</v>
      </c>
      <c r="AI201" s="129">
        <f t="shared" si="146"/>
        <v>97567</v>
      </c>
      <c r="AJ201" s="129">
        <f t="shared" si="146"/>
        <v>57889</v>
      </c>
      <c r="AK201" s="129">
        <f t="shared" si="146"/>
        <v>342808</v>
      </c>
      <c r="AL201" s="129">
        <f t="shared" si="146"/>
        <v>195934</v>
      </c>
      <c r="AM201" s="129">
        <f t="shared" si="146"/>
        <v>420461</v>
      </c>
      <c r="AN201" s="129">
        <f t="shared" si="146"/>
        <v>221362</v>
      </c>
      <c r="AO201" s="129">
        <f t="shared" si="146"/>
        <v>892016</v>
      </c>
      <c r="AP201" s="129">
        <f t="shared" si="146"/>
        <v>27320</v>
      </c>
      <c r="AQ201" s="122"/>
      <c r="AR201" s="130">
        <f t="shared" si="144"/>
        <v>7892545</v>
      </c>
      <c r="AT201" s="131"/>
      <c r="AU201" s="131"/>
      <c r="AW201" s="81"/>
      <c r="AX201" s="81"/>
      <c r="AY201" s="81"/>
      <c r="AZ201" s="81"/>
      <c r="BA201" s="81"/>
      <c r="BB201" s="81"/>
      <c r="BC201" s="81"/>
      <c r="BD201" s="81"/>
    </row>
    <row r="202" spans="1:56" s="220" customFormat="1" ht="17" customHeight="1" thickBot="1">
      <c r="B202" s="220" t="s">
        <v>416</v>
      </c>
      <c r="C202" s="81"/>
      <c r="D202" s="81"/>
      <c r="E202" s="81"/>
      <c r="G202" s="129">
        <f>SUMPRODUCT(G$3:G$192,$BD$3:$BD$192)</f>
        <v>33207</v>
      </c>
      <c r="H202" s="131"/>
      <c r="I202" s="81"/>
      <c r="J202" s="81"/>
      <c r="K202" s="81"/>
      <c r="L202" s="97"/>
      <c r="M202" s="129">
        <f>SUMPRODUCT(M$3:M$192,$BD$3:$BD$192)</f>
        <v>103471</v>
      </c>
      <c r="N202" s="129">
        <f t="shared" ref="N202:AP202" si="147">SUMPRODUCT(N$3:N$192,$BD$3:$BD$192)</f>
        <v>55371</v>
      </c>
      <c r="O202" s="129">
        <f t="shared" si="147"/>
        <v>0</v>
      </c>
      <c r="P202" s="129">
        <f t="shared" si="147"/>
        <v>0</v>
      </c>
      <c r="Q202" s="129">
        <f t="shared" si="147"/>
        <v>57350</v>
      </c>
      <c r="R202" s="129">
        <f t="shared" si="147"/>
        <v>34609</v>
      </c>
      <c r="S202" s="129">
        <f t="shared" si="147"/>
        <v>45111</v>
      </c>
      <c r="T202" s="129">
        <f t="shared" si="147"/>
        <v>253681</v>
      </c>
      <c r="U202" s="129">
        <f t="shared" si="147"/>
        <v>0</v>
      </c>
      <c r="V202" s="129">
        <f t="shared" si="147"/>
        <v>0</v>
      </c>
      <c r="W202" s="129">
        <f t="shared" si="147"/>
        <v>108448</v>
      </c>
      <c r="X202" s="129">
        <f t="shared" si="147"/>
        <v>180546</v>
      </c>
      <c r="Y202" s="129">
        <f t="shared" si="147"/>
        <v>55453</v>
      </c>
      <c r="Z202" s="129">
        <f t="shared" si="147"/>
        <v>111021</v>
      </c>
      <c r="AA202" s="129">
        <f t="shared" si="147"/>
        <v>26812</v>
      </c>
      <c r="AB202" s="129">
        <f t="shared" si="147"/>
        <v>52022</v>
      </c>
      <c r="AC202" s="129">
        <f t="shared" si="147"/>
        <v>77836</v>
      </c>
      <c r="AD202" s="129">
        <f t="shared" si="147"/>
        <v>26291</v>
      </c>
      <c r="AE202" s="129">
        <f t="shared" si="147"/>
        <v>68166</v>
      </c>
      <c r="AF202" s="129">
        <f t="shared" si="147"/>
        <v>161328</v>
      </c>
      <c r="AG202" s="129">
        <f t="shared" si="147"/>
        <v>0</v>
      </c>
      <c r="AH202" s="129">
        <f t="shared" si="147"/>
        <v>29841</v>
      </c>
      <c r="AI202" s="129">
        <f t="shared" si="147"/>
        <v>423934</v>
      </c>
      <c r="AJ202" s="129">
        <f t="shared" si="147"/>
        <v>247773</v>
      </c>
      <c r="AK202" s="129">
        <f t="shared" si="147"/>
        <v>596446</v>
      </c>
      <c r="AL202" s="129">
        <f t="shared" si="147"/>
        <v>22441</v>
      </c>
      <c r="AM202" s="129">
        <f t="shared" si="147"/>
        <v>0</v>
      </c>
      <c r="AN202" s="129">
        <f t="shared" si="147"/>
        <v>0</v>
      </c>
      <c r="AO202" s="129">
        <f t="shared" si="147"/>
        <v>43390</v>
      </c>
      <c r="AP202" s="129">
        <f t="shared" si="147"/>
        <v>84631</v>
      </c>
      <c r="AQ202" s="122"/>
      <c r="AR202" s="130">
        <f t="shared" si="144"/>
        <v>2865972</v>
      </c>
      <c r="AT202" s="131"/>
      <c r="AU202" s="131"/>
      <c r="AW202" s="81"/>
      <c r="AX202" s="81"/>
      <c r="AY202" s="81"/>
      <c r="AZ202" s="81"/>
      <c r="BA202" s="81"/>
      <c r="BB202" s="81"/>
      <c r="BC202" s="81"/>
      <c r="BD202" s="81"/>
    </row>
    <row r="203" spans="1:56" s="220" customFormat="1" ht="17" customHeight="1" thickBot="1">
      <c r="A203" s="223"/>
      <c r="B203" s="223" t="s">
        <v>251</v>
      </c>
      <c r="C203" s="223"/>
      <c r="D203" s="81"/>
      <c r="E203" s="81"/>
      <c r="G203" s="128">
        <f>SUM(G199:G202)</f>
        <v>193238</v>
      </c>
      <c r="H203" s="131"/>
      <c r="I203" s="81"/>
      <c r="J203" s="81"/>
      <c r="K203" s="81"/>
      <c r="L203" s="97"/>
      <c r="M203" s="128">
        <f>SUM(M199:M202)</f>
        <v>304394</v>
      </c>
      <c r="N203" s="128">
        <f t="shared" ref="N203:AR203" si="148">SUM(N199:N202)</f>
        <v>145845</v>
      </c>
      <c r="O203" s="128">
        <f t="shared" si="148"/>
        <v>610568</v>
      </c>
      <c r="P203" s="128">
        <f t="shared" si="148"/>
        <v>302593</v>
      </c>
      <c r="Q203" s="128">
        <f t="shared" si="148"/>
        <v>475953</v>
      </c>
      <c r="R203" s="128">
        <f t="shared" si="148"/>
        <v>47427</v>
      </c>
      <c r="S203" s="128">
        <f t="shared" si="148"/>
        <v>124936</v>
      </c>
      <c r="T203" s="128">
        <f t="shared" si="148"/>
        <v>1623354</v>
      </c>
      <c r="U203" s="128">
        <f t="shared" si="148"/>
        <v>350396</v>
      </c>
      <c r="V203" s="128">
        <f t="shared" si="148"/>
        <v>147977</v>
      </c>
      <c r="W203" s="128">
        <f t="shared" si="148"/>
        <v>344573</v>
      </c>
      <c r="X203" s="128">
        <f t="shared" si="148"/>
        <v>443060</v>
      </c>
      <c r="Y203" s="128">
        <f t="shared" si="148"/>
        <v>1114139</v>
      </c>
      <c r="Z203" s="128">
        <f t="shared" si="148"/>
        <v>279251</v>
      </c>
      <c r="AA203" s="128">
        <f t="shared" si="148"/>
        <v>232216</v>
      </c>
      <c r="AB203" s="128">
        <f t="shared" si="148"/>
        <v>516411</v>
      </c>
      <c r="AC203" s="128">
        <f t="shared" si="148"/>
        <v>1400280</v>
      </c>
      <c r="AD203" s="128">
        <f t="shared" si="148"/>
        <v>1136434</v>
      </c>
      <c r="AE203" s="128">
        <f t="shared" si="148"/>
        <v>636714</v>
      </c>
      <c r="AF203" s="128">
        <f t="shared" si="148"/>
        <v>827311</v>
      </c>
      <c r="AG203" s="128">
        <f t="shared" si="148"/>
        <v>544151</v>
      </c>
      <c r="AH203" s="128">
        <f t="shared" si="148"/>
        <v>244477</v>
      </c>
      <c r="AI203" s="128">
        <f t="shared" si="148"/>
        <v>3442755</v>
      </c>
      <c r="AJ203" s="128">
        <f t="shared" si="148"/>
        <v>650782</v>
      </c>
      <c r="AK203" s="128">
        <f t="shared" si="148"/>
        <v>963308</v>
      </c>
      <c r="AL203" s="128">
        <f t="shared" si="148"/>
        <v>371409</v>
      </c>
      <c r="AM203" s="128">
        <f t="shared" si="148"/>
        <v>446228</v>
      </c>
      <c r="AN203" s="128">
        <f t="shared" si="148"/>
        <v>308540</v>
      </c>
      <c r="AO203" s="128">
        <f t="shared" si="148"/>
        <v>1136901</v>
      </c>
      <c r="AP203" s="128">
        <f t="shared" si="148"/>
        <v>336129</v>
      </c>
      <c r="AQ203" s="122"/>
      <c r="AR203" s="128">
        <f t="shared" si="148"/>
        <v>19508512</v>
      </c>
      <c r="AT203" s="131"/>
      <c r="AU203" s="131"/>
      <c r="AW203" s="81"/>
      <c r="AX203" s="81"/>
      <c r="AY203" s="81"/>
      <c r="AZ203" s="81"/>
      <c r="BA203" s="81"/>
      <c r="BB203" s="81"/>
      <c r="BC203" s="81"/>
      <c r="BD203" s="81"/>
    </row>
    <row r="204" spans="1:56" ht="9" customHeight="1">
      <c r="H204" s="131"/>
      <c r="L204" s="97"/>
      <c r="AQ204" s="122"/>
      <c r="AT204" s="131"/>
      <c r="AU204" s="131"/>
    </row>
    <row r="205" spans="1:56" ht="15" customHeight="1">
      <c r="B205" s="132" t="s">
        <v>159</v>
      </c>
      <c r="G205" s="133">
        <f>G198/12/2426</f>
        <v>6.3654506732618854</v>
      </c>
      <c r="H205" s="131"/>
      <c r="L205" s="97"/>
      <c r="M205" s="133">
        <f>M198/12/2426</f>
        <v>10.455963176696896</v>
      </c>
      <c r="N205" s="133">
        <f t="shared" ref="N205:AP205" si="149">N198/12/2426</f>
        <v>5.0097897774113767</v>
      </c>
      <c r="O205" s="133">
        <f t="shared" si="149"/>
        <v>21.69668865072822</v>
      </c>
      <c r="P205" s="133">
        <f t="shared" si="149"/>
        <v>10.394098653476229</v>
      </c>
      <c r="Q205" s="133">
        <f t="shared" si="149"/>
        <v>16.349031327287715</v>
      </c>
      <c r="R205" s="133">
        <f t="shared" si="149"/>
        <v>1.0379568562791976</v>
      </c>
      <c r="S205" s="133">
        <f t="shared" si="149"/>
        <v>4.2915636163781263</v>
      </c>
      <c r="T205" s="133">
        <f t="shared" si="149"/>
        <v>55.762366034624897</v>
      </c>
      <c r="U205" s="133">
        <f t="shared" si="149"/>
        <v>12.036136301181644</v>
      </c>
      <c r="V205" s="133">
        <f t="shared" si="149"/>
        <v>5.0830241824677103</v>
      </c>
      <c r="W205" s="133">
        <f t="shared" si="149"/>
        <v>11.836115691123936</v>
      </c>
      <c r="X205" s="133">
        <f t="shared" si="149"/>
        <v>15.219153613630118</v>
      </c>
      <c r="Y205" s="133">
        <f t="shared" si="149"/>
        <v>39.291494916185769</v>
      </c>
      <c r="Z205" s="133">
        <f t="shared" si="149"/>
        <v>8.3134446276449587</v>
      </c>
      <c r="AA205" s="133">
        <f t="shared" si="149"/>
        <v>7.9766419345974162</v>
      </c>
      <c r="AB205" s="133">
        <f t="shared" si="149"/>
        <v>15.951806815059083</v>
      </c>
      <c r="AC205" s="133">
        <f t="shared" si="149"/>
        <v>47.483271503160211</v>
      </c>
      <c r="AD205" s="133">
        <f t="shared" si="149"/>
        <v>39.036617202528163</v>
      </c>
      <c r="AE205" s="133">
        <f t="shared" si="149"/>
        <v>21.87118713932399</v>
      </c>
      <c r="AF205" s="133">
        <f t="shared" si="149"/>
        <v>28.418212420994777</v>
      </c>
      <c r="AG205" s="133">
        <f t="shared" si="149"/>
        <v>18.691639186589722</v>
      </c>
      <c r="AH205" s="133">
        <f t="shared" si="149"/>
        <v>7.3727672437482816</v>
      </c>
      <c r="AI205" s="133">
        <f t="shared" si="149"/>
        <v>2.3445314646881008</v>
      </c>
      <c r="AJ205" s="133">
        <f t="shared" si="149"/>
        <v>22.354424292388021</v>
      </c>
      <c r="AK205" s="133">
        <f t="shared" si="149"/>
        <v>32.446242099477878</v>
      </c>
      <c r="AL205" s="133">
        <f t="shared" si="149"/>
        <v>12.757934872217643</v>
      </c>
      <c r="AM205" s="133">
        <f t="shared" si="149"/>
        <v>15.327974718329211</v>
      </c>
      <c r="AN205" s="133">
        <f t="shared" si="149"/>
        <v>10.598378675460292</v>
      </c>
      <c r="AO205" s="133">
        <f t="shared" si="149"/>
        <v>39.05265869744435</v>
      </c>
      <c r="AP205" s="133">
        <f t="shared" si="149"/>
        <v>10.196276449574059</v>
      </c>
      <c r="AQ205" s="122"/>
      <c r="AT205" s="131"/>
      <c r="AU205" s="131"/>
    </row>
    <row r="206" spans="1:56" ht="9" customHeight="1">
      <c r="H206" s="131"/>
      <c r="L206" s="97"/>
      <c r="AQ206" s="122"/>
      <c r="AT206" s="131"/>
      <c r="AU206" s="131"/>
    </row>
    <row r="207" spans="1:56" ht="15" customHeight="1">
      <c r="B207" s="118" t="s">
        <v>160</v>
      </c>
      <c r="G207" s="115">
        <f>COUNT(G3:G192)-COUNTIF(G3:G192,0)</f>
        <v>12</v>
      </c>
      <c r="H207" s="131"/>
      <c r="L207" s="97"/>
      <c r="M207" s="115">
        <f t="shared" ref="M207:AP207" si="150">COUNT(M3:M192)-COUNTIF(M3:M192,0)</f>
        <v>11</v>
      </c>
      <c r="N207" s="115">
        <f t="shared" si="150"/>
        <v>8</v>
      </c>
      <c r="O207" s="115">
        <f t="shared" si="150"/>
        <v>16</v>
      </c>
      <c r="P207" s="115">
        <f t="shared" si="150"/>
        <v>6</v>
      </c>
      <c r="Q207" s="115">
        <f t="shared" si="150"/>
        <v>11</v>
      </c>
      <c r="R207" s="115">
        <f t="shared" si="150"/>
        <v>3</v>
      </c>
      <c r="S207" s="115">
        <f t="shared" si="150"/>
        <v>6</v>
      </c>
      <c r="T207" s="115">
        <f t="shared" si="150"/>
        <v>51</v>
      </c>
      <c r="U207" s="115">
        <f t="shared" si="150"/>
        <v>10</v>
      </c>
      <c r="V207" s="115">
        <f t="shared" si="150"/>
        <v>6</v>
      </c>
      <c r="W207" s="115">
        <f t="shared" si="150"/>
        <v>13</v>
      </c>
      <c r="X207" s="115">
        <f t="shared" si="150"/>
        <v>8</v>
      </c>
      <c r="Y207" s="115">
        <f t="shared" si="150"/>
        <v>22</v>
      </c>
      <c r="Z207" s="115">
        <f t="shared" si="150"/>
        <v>11</v>
      </c>
      <c r="AA207" s="115">
        <f t="shared" si="150"/>
        <v>6</v>
      </c>
      <c r="AB207" s="115">
        <f t="shared" si="150"/>
        <v>8</v>
      </c>
      <c r="AC207" s="115">
        <f t="shared" si="150"/>
        <v>20</v>
      </c>
      <c r="AD207" s="115">
        <f t="shared" si="150"/>
        <v>10</v>
      </c>
      <c r="AE207" s="115">
        <f t="shared" si="150"/>
        <v>10</v>
      </c>
      <c r="AF207" s="115">
        <f t="shared" si="150"/>
        <v>14</v>
      </c>
      <c r="AG207" s="115">
        <f t="shared" si="150"/>
        <v>7</v>
      </c>
      <c r="AH207" s="115">
        <f t="shared" si="150"/>
        <v>4</v>
      </c>
      <c r="AI207" s="115">
        <f t="shared" si="150"/>
        <v>69</v>
      </c>
      <c r="AJ207" s="115">
        <f t="shared" si="150"/>
        <v>11</v>
      </c>
      <c r="AK207" s="115">
        <f t="shared" si="150"/>
        <v>9</v>
      </c>
      <c r="AL207" s="115">
        <f t="shared" si="150"/>
        <v>7</v>
      </c>
      <c r="AM207" s="115">
        <f t="shared" si="150"/>
        <v>7</v>
      </c>
      <c r="AN207" s="115">
        <f t="shared" si="150"/>
        <v>4</v>
      </c>
      <c r="AO207" s="115">
        <f t="shared" si="150"/>
        <v>13</v>
      </c>
      <c r="AP207" s="115">
        <f t="shared" si="150"/>
        <v>8</v>
      </c>
      <c r="AQ207" s="122"/>
      <c r="AR207" s="130">
        <f>SUM(L207:AQ207)</f>
        <v>389</v>
      </c>
      <c r="AT207" s="131"/>
      <c r="AU207" s="131"/>
    </row>
    <row r="209" spans="1:52" s="220" customFormat="1">
      <c r="B209" s="220" t="s">
        <v>436</v>
      </c>
      <c r="C209" s="81"/>
      <c r="D209" s="81"/>
      <c r="E209" s="81"/>
      <c r="G209" s="265" t="s">
        <v>437</v>
      </c>
      <c r="I209" s="81"/>
      <c r="J209" s="81"/>
      <c r="K209" s="81"/>
      <c r="L209" s="81"/>
      <c r="M209" s="121">
        <f t="shared" ref="M209:AP209" si="151">IF(M195&lt;0,PMT(BondUseInterestRate,BondUseLife,M195*(1+BondUseOriginFee),0,0),0)</f>
        <v>0</v>
      </c>
      <c r="N209" s="121">
        <f t="shared" si="151"/>
        <v>0</v>
      </c>
      <c r="O209" s="121">
        <f t="shared" si="151"/>
        <v>0</v>
      </c>
      <c r="P209" s="121">
        <f t="shared" si="151"/>
        <v>0</v>
      </c>
      <c r="Q209" s="121">
        <f t="shared" si="151"/>
        <v>0</v>
      </c>
      <c r="R209" s="121">
        <f t="shared" si="151"/>
        <v>0</v>
      </c>
      <c r="S209" s="121">
        <f t="shared" si="151"/>
        <v>0</v>
      </c>
      <c r="T209" s="121">
        <f t="shared" si="151"/>
        <v>0</v>
      </c>
      <c r="U209" s="121">
        <f t="shared" si="151"/>
        <v>0</v>
      </c>
      <c r="V209" s="121">
        <f t="shared" si="151"/>
        <v>0</v>
      </c>
      <c r="W209" s="121">
        <f t="shared" si="151"/>
        <v>0</v>
      </c>
      <c r="X209" s="121">
        <f t="shared" si="151"/>
        <v>0</v>
      </c>
      <c r="Y209" s="121">
        <f t="shared" si="151"/>
        <v>0</v>
      </c>
      <c r="Z209" s="121">
        <f t="shared" si="151"/>
        <v>0</v>
      </c>
      <c r="AA209" s="121">
        <f t="shared" si="151"/>
        <v>0</v>
      </c>
      <c r="AB209" s="121">
        <f t="shared" si="151"/>
        <v>0</v>
      </c>
      <c r="AC209" s="121">
        <f t="shared" si="151"/>
        <v>0</v>
      </c>
      <c r="AD209" s="121">
        <f t="shared" si="151"/>
        <v>0</v>
      </c>
      <c r="AE209" s="121">
        <f t="shared" si="151"/>
        <v>0</v>
      </c>
      <c r="AF209" s="121">
        <f t="shared" si="151"/>
        <v>0</v>
      </c>
      <c r="AG209" s="121">
        <f t="shared" si="151"/>
        <v>0</v>
      </c>
      <c r="AH209" s="121">
        <f t="shared" si="151"/>
        <v>0</v>
      </c>
      <c r="AI209" s="121">
        <f t="shared" si="151"/>
        <v>276883.56039228261</v>
      </c>
      <c r="AJ209" s="121">
        <f t="shared" si="151"/>
        <v>0</v>
      </c>
      <c r="AK209" s="121">
        <f t="shared" si="151"/>
        <v>0</v>
      </c>
      <c r="AL209" s="121">
        <f t="shared" si="151"/>
        <v>0</v>
      </c>
      <c r="AM209" s="121">
        <f t="shared" si="151"/>
        <v>0</v>
      </c>
      <c r="AN209" s="121">
        <f t="shared" si="151"/>
        <v>0</v>
      </c>
      <c r="AO209" s="121">
        <f t="shared" si="151"/>
        <v>0</v>
      </c>
      <c r="AP209" s="121">
        <f t="shared" si="151"/>
        <v>0</v>
      </c>
      <c r="AQ209" s="121"/>
      <c r="AR209" s="266">
        <f t="shared" ref="AR209:AR211" si="152">SUM(L209:AQ209)</f>
        <v>276883.56039228261</v>
      </c>
    </row>
    <row r="210" spans="1:52" s="220" customFormat="1">
      <c r="B210" s="220" t="s">
        <v>438</v>
      </c>
      <c r="C210" s="81"/>
      <c r="D210" s="81"/>
      <c r="E210" s="81"/>
      <c r="G210" s="265" t="s">
        <v>437</v>
      </c>
      <c r="I210" s="81"/>
      <c r="J210" s="81"/>
      <c r="K210" s="81"/>
      <c r="L210" s="81"/>
      <c r="M210" s="267">
        <f t="shared" ref="M210:AI210" si="153">M209/2426</f>
        <v>0</v>
      </c>
      <c r="N210" s="267">
        <f t="shared" si="153"/>
        <v>0</v>
      </c>
      <c r="O210" s="267">
        <f t="shared" si="153"/>
        <v>0</v>
      </c>
      <c r="P210" s="267">
        <f t="shared" si="153"/>
        <v>0</v>
      </c>
      <c r="Q210" s="267">
        <f t="shared" si="153"/>
        <v>0</v>
      </c>
      <c r="R210" s="267">
        <f t="shared" si="153"/>
        <v>0</v>
      </c>
      <c r="S210" s="267">
        <f t="shared" si="153"/>
        <v>0</v>
      </c>
      <c r="T210" s="267">
        <f t="shared" si="153"/>
        <v>0</v>
      </c>
      <c r="U210" s="267">
        <f t="shared" si="153"/>
        <v>0</v>
      </c>
      <c r="V210" s="267">
        <f t="shared" si="153"/>
        <v>0</v>
      </c>
      <c r="W210" s="267">
        <f t="shared" si="153"/>
        <v>0</v>
      </c>
      <c r="X210" s="267">
        <f t="shared" si="153"/>
        <v>0</v>
      </c>
      <c r="Y210" s="267">
        <f t="shared" si="153"/>
        <v>0</v>
      </c>
      <c r="Z210" s="267">
        <f t="shared" si="153"/>
        <v>0</v>
      </c>
      <c r="AA210" s="267">
        <f t="shared" si="153"/>
        <v>0</v>
      </c>
      <c r="AB210" s="267">
        <f t="shared" si="153"/>
        <v>0</v>
      </c>
      <c r="AC210" s="267">
        <f t="shared" si="153"/>
        <v>0</v>
      </c>
      <c r="AD210" s="267">
        <f t="shared" si="153"/>
        <v>0</v>
      </c>
      <c r="AE210" s="267">
        <f t="shared" si="153"/>
        <v>0</v>
      </c>
      <c r="AF210" s="267">
        <f t="shared" si="153"/>
        <v>0</v>
      </c>
      <c r="AG210" s="267">
        <f t="shared" si="153"/>
        <v>0</v>
      </c>
      <c r="AH210" s="267">
        <f t="shared" si="153"/>
        <v>0</v>
      </c>
      <c r="AI210" s="267">
        <f t="shared" si="153"/>
        <v>114.13172316252374</v>
      </c>
      <c r="AJ210" s="267">
        <f>AJ209/2426</f>
        <v>0</v>
      </c>
      <c r="AK210" s="267">
        <f t="shared" ref="AK210:AP210" si="154">AK209/2426</f>
        <v>0</v>
      </c>
      <c r="AL210" s="267">
        <f t="shared" si="154"/>
        <v>0</v>
      </c>
      <c r="AM210" s="267">
        <f t="shared" si="154"/>
        <v>0</v>
      </c>
      <c r="AN210" s="267">
        <f t="shared" si="154"/>
        <v>0</v>
      </c>
      <c r="AO210" s="267">
        <f t="shared" si="154"/>
        <v>0</v>
      </c>
      <c r="AP210" s="267">
        <f t="shared" si="154"/>
        <v>0</v>
      </c>
      <c r="AQ210" s="121"/>
      <c r="AR210" s="268">
        <f t="shared" si="152"/>
        <v>114.13172316252374</v>
      </c>
    </row>
    <row r="211" spans="1:52" s="220" customFormat="1">
      <c r="B211" s="220" t="s">
        <v>439</v>
      </c>
      <c r="C211" s="81"/>
      <c r="D211" s="81"/>
      <c r="E211" s="81"/>
      <c r="G211" s="265" t="s">
        <v>437</v>
      </c>
      <c r="I211" s="81"/>
      <c r="J211" s="81"/>
      <c r="K211" s="81"/>
      <c r="L211" s="81"/>
      <c r="M211" s="267">
        <f t="shared" ref="M211:AI211" si="155">M210/12</f>
        <v>0</v>
      </c>
      <c r="N211" s="267">
        <f t="shared" si="155"/>
        <v>0</v>
      </c>
      <c r="O211" s="267">
        <f t="shared" si="155"/>
        <v>0</v>
      </c>
      <c r="P211" s="267">
        <f t="shared" si="155"/>
        <v>0</v>
      </c>
      <c r="Q211" s="267">
        <f t="shared" si="155"/>
        <v>0</v>
      </c>
      <c r="R211" s="267">
        <f t="shared" si="155"/>
        <v>0</v>
      </c>
      <c r="S211" s="267">
        <f t="shared" si="155"/>
        <v>0</v>
      </c>
      <c r="T211" s="267">
        <f t="shared" si="155"/>
        <v>0</v>
      </c>
      <c r="U211" s="267">
        <f t="shared" si="155"/>
        <v>0</v>
      </c>
      <c r="V211" s="267">
        <f t="shared" si="155"/>
        <v>0</v>
      </c>
      <c r="W211" s="267">
        <f t="shared" si="155"/>
        <v>0</v>
      </c>
      <c r="X211" s="267">
        <f t="shared" si="155"/>
        <v>0</v>
      </c>
      <c r="Y211" s="267">
        <f t="shared" si="155"/>
        <v>0</v>
      </c>
      <c r="Z211" s="267">
        <f t="shared" si="155"/>
        <v>0</v>
      </c>
      <c r="AA211" s="267">
        <f t="shared" si="155"/>
        <v>0</v>
      </c>
      <c r="AB211" s="267">
        <f t="shared" si="155"/>
        <v>0</v>
      </c>
      <c r="AC211" s="267">
        <f t="shared" si="155"/>
        <v>0</v>
      </c>
      <c r="AD211" s="267">
        <f t="shared" si="155"/>
        <v>0</v>
      </c>
      <c r="AE211" s="267">
        <f t="shared" si="155"/>
        <v>0</v>
      </c>
      <c r="AF211" s="267">
        <f t="shared" si="155"/>
        <v>0</v>
      </c>
      <c r="AG211" s="267">
        <f t="shared" si="155"/>
        <v>0</v>
      </c>
      <c r="AH211" s="267">
        <f t="shared" si="155"/>
        <v>0</v>
      </c>
      <c r="AI211" s="267">
        <f t="shared" si="155"/>
        <v>9.5109769302103118</v>
      </c>
      <c r="AJ211" s="267">
        <f>AJ210/12</f>
        <v>0</v>
      </c>
      <c r="AK211" s="267">
        <f t="shared" ref="AK211:AP211" si="156">AK210/12</f>
        <v>0</v>
      </c>
      <c r="AL211" s="267">
        <f t="shared" si="156"/>
        <v>0</v>
      </c>
      <c r="AM211" s="267">
        <f t="shared" si="156"/>
        <v>0</v>
      </c>
      <c r="AN211" s="267">
        <f t="shared" si="156"/>
        <v>0</v>
      </c>
      <c r="AO211" s="267">
        <f t="shared" si="156"/>
        <v>0</v>
      </c>
      <c r="AP211" s="267">
        <f t="shared" si="156"/>
        <v>0</v>
      </c>
      <c r="AQ211" s="121"/>
      <c r="AR211" s="268">
        <f t="shared" si="152"/>
        <v>9.5109769302103118</v>
      </c>
    </row>
    <row r="213" spans="1:52" s="220" customFormat="1">
      <c r="B213" s="220" t="s">
        <v>445</v>
      </c>
      <c r="C213" s="81"/>
      <c r="D213" s="81"/>
      <c r="E213" s="81"/>
      <c r="G213" s="275">
        <f>'Control Panel'!P3</f>
        <v>10000</v>
      </c>
      <c r="H213" s="129"/>
      <c r="I213" s="276"/>
      <c r="J213" s="276"/>
      <c r="K213" s="276"/>
      <c r="L213" s="276"/>
      <c r="M213" s="129">
        <f>SUM(G213:G216)</f>
        <v>12073</v>
      </c>
      <c r="N213" s="129">
        <f>SUM(M213:M216)</f>
        <v>22374.766500000002</v>
      </c>
      <c r="O213" s="129">
        <f t="shared" ref="O213:AP213" si="157">SUM(N213:N216)</f>
        <v>32962.764048249999</v>
      </c>
      <c r="P213" s="129">
        <f t="shared" si="157"/>
        <v>43843.114164506624</v>
      </c>
      <c r="Q213" s="129">
        <f t="shared" si="157"/>
        <v>55022.057176124574</v>
      </c>
      <c r="R213" s="129">
        <f t="shared" si="157"/>
        <v>66505.954419840098</v>
      </c>
      <c r="S213" s="129">
        <f t="shared" si="157"/>
        <v>61091.290483373545</v>
      </c>
      <c r="T213" s="129">
        <f t="shared" si="157"/>
        <v>73023.970487561281</v>
      </c>
      <c r="U213" s="129">
        <f t="shared" si="157"/>
        <v>85279.54000723995</v>
      </c>
      <c r="V213" s="129">
        <f t="shared" si="157"/>
        <v>97864.847318892527</v>
      </c>
      <c r="W213" s="129">
        <f t="shared" si="157"/>
        <v>110786.87311979505</v>
      </c>
      <c r="X213" s="129">
        <f t="shared" si="157"/>
        <v>124052.73297742801</v>
      </c>
      <c r="Y213" s="129">
        <f t="shared" si="157"/>
        <v>137669.67982313893</v>
      </c>
      <c r="Z213" s="129">
        <f t="shared" si="157"/>
        <v>151645.10649084515</v>
      </c>
      <c r="AA213" s="129">
        <f t="shared" si="157"/>
        <v>128756.54830157965</v>
      </c>
      <c r="AB213" s="129">
        <f t="shared" si="157"/>
        <v>143080.77069469701</v>
      </c>
      <c r="AC213" s="129">
        <f t="shared" si="157"/>
        <v>105760.41229907125</v>
      </c>
      <c r="AD213" s="129">
        <f t="shared" si="157"/>
        <v>102354.17777675283</v>
      </c>
      <c r="AE213" s="129">
        <f t="shared" si="157"/>
        <v>117094.20771204952</v>
      </c>
      <c r="AF213" s="129">
        <f t="shared" si="157"/>
        <v>132228.15090536806</v>
      </c>
      <c r="AG213" s="129">
        <f t="shared" si="157"/>
        <v>147764.32844743243</v>
      </c>
      <c r="AH213" s="129">
        <f t="shared" si="157"/>
        <v>163711.22203794573</v>
      </c>
      <c r="AI213" s="129">
        <f t="shared" si="157"/>
        <v>150236.47695364119</v>
      </c>
      <c r="AJ213" s="129">
        <f t="shared" si="157"/>
        <v>166717.57456992666</v>
      </c>
      <c r="AK213" s="129">
        <f t="shared" si="157"/>
        <v>183632.53696682787</v>
      </c>
      <c r="AL213" s="129">
        <f t="shared" si="157"/>
        <v>182257.48395651512</v>
      </c>
      <c r="AM213" s="129">
        <f t="shared" si="157"/>
        <v>199871.01448324593</v>
      </c>
      <c r="AN213" s="129">
        <f t="shared" si="157"/>
        <v>217944.23405204821</v>
      </c>
      <c r="AO213" s="129">
        <f t="shared" si="157"/>
        <v>236486.77746986566</v>
      </c>
      <c r="AP213" s="129">
        <f t="shared" si="157"/>
        <v>255508.46485037493</v>
      </c>
      <c r="AQ213" s="277"/>
      <c r="AR213" s="129">
        <f>SUM(AP213:AP216)</f>
        <v>235724.30503217838</v>
      </c>
    </row>
    <row r="214" spans="1:52" s="220" customFormat="1">
      <c r="B214" s="220" t="s">
        <v>446</v>
      </c>
      <c r="C214" s="81"/>
      <c r="D214" s="81"/>
      <c r="E214" s="81"/>
      <c r="G214" s="275">
        <f>G196</f>
        <v>-7927</v>
      </c>
      <c r="H214" s="129"/>
      <c r="I214" s="276"/>
      <c r="J214" s="276"/>
      <c r="K214" s="276"/>
      <c r="L214" s="276"/>
      <c r="M214" s="275">
        <f t="shared" ref="M214:AP214" si="158">M196</f>
        <v>0</v>
      </c>
      <c r="N214" s="275">
        <f t="shared" si="158"/>
        <v>0</v>
      </c>
      <c r="O214" s="275">
        <f t="shared" si="158"/>
        <v>0</v>
      </c>
      <c r="P214" s="275">
        <f t="shared" si="158"/>
        <v>0</v>
      </c>
      <c r="Q214" s="275">
        <f t="shared" si="158"/>
        <v>0</v>
      </c>
      <c r="R214" s="275">
        <f t="shared" si="158"/>
        <v>-17210</v>
      </c>
      <c r="S214" s="275">
        <f t="shared" si="158"/>
        <v>0</v>
      </c>
      <c r="T214" s="275">
        <f t="shared" si="158"/>
        <v>0</v>
      </c>
      <c r="U214" s="275">
        <f t="shared" si="158"/>
        <v>0</v>
      </c>
      <c r="V214" s="275">
        <f t="shared" si="158"/>
        <v>0</v>
      </c>
      <c r="W214" s="275">
        <f t="shared" si="158"/>
        <v>0</v>
      </c>
      <c r="X214" s="275">
        <f t="shared" si="158"/>
        <v>0</v>
      </c>
      <c r="Y214" s="275">
        <f t="shared" si="158"/>
        <v>0</v>
      </c>
      <c r="Z214" s="275">
        <f t="shared" si="158"/>
        <v>-37230</v>
      </c>
      <c r="AA214" s="275">
        <f t="shared" si="158"/>
        <v>0</v>
      </c>
      <c r="AB214" s="275">
        <f t="shared" si="158"/>
        <v>-52022</v>
      </c>
      <c r="AC214" s="275">
        <f t="shared" si="158"/>
        <v>-17947</v>
      </c>
      <c r="AD214" s="275">
        <f t="shared" si="158"/>
        <v>0</v>
      </c>
      <c r="AE214" s="275">
        <f t="shared" si="158"/>
        <v>0</v>
      </c>
      <c r="AF214" s="275">
        <f t="shared" si="158"/>
        <v>0</v>
      </c>
      <c r="AG214" s="275">
        <f t="shared" si="158"/>
        <v>0</v>
      </c>
      <c r="AH214" s="275">
        <f t="shared" si="158"/>
        <v>-29841</v>
      </c>
      <c r="AI214" s="275">
        <f t="shared" si="158"/>
        <v>0</v>
      </c>
      <c r="AJ214" s="275">
        <f t="shared" si="158"/>
        <v>0</v>
      </c>
      <c r="AK214" s="275">
        <f t="shared" si="158"/>
        <v>-18733</v>
      </c>
      <c r="AL214" s="275">
        <f t="shared" si="158"/>
        <v>0</v>
      </c>
      <c r="AM214" s="275">
        <f t="shared" si="158"/>
        <v>0</v>
      </c>
      <c r="AN214" s="275">
        <f t="shared" si="158"/>
        <v>0</v>
      </c>
      <c r="AO214" s="275">
        <f t="shared" si="158"/>
        <v>0</v>
      </c>
      <c r="AP214" s="275">
        <f t="shared" si="158"/>
        <v>-39295</v>
      </c>
      <c r="AQ214" s="129"/>
      <c r="AR214" s="129"/>
    </row>
    <row r="215" spans="1:52" s="220" customFormat="1">
      <c r="B215" s="220" t="s">
        <v>447</v>
      </c>
      <c r="C215" s="81"/>
      <c r="D215" s="81"/>
      <c r="E215" s="81"/>
      <c r="G215" s="275">
        <f>'Control Panel'!Q3</f>
        <v>10000</v>
      </c>
      <c r="H215" s="129"/>
      <c r="I215" s="276"/>
      <c r="J215" s="276"/>
      <c r="K215" s="276"/>
      <c r="L215" s="276"/>
      <c r="M215" s="129">
        <f>G215*(1+InflationRate/2)</f>
        <v>10175</v>
      </c>
      <c r="N215" s="129">
        <f t="shared" ref="N215:AP215" si="159">M215*(1+InflationRate/2)</f>
        <v>10353.0625</v>
      </c>
      <c r="O215" s="129">
        <f t="shared" si="159"/>
        <v>10534.241093750001</v>
      </c>
      <c r="P215" s="129">
        <f t="shared" si="159"/>
        <v>10718.590312890627</v>
      </c>
      <c r="Q215" s="129">
        <f t="shared" si="159"/>
        <v>10906.165643366214</v>
      </c>
      <c r="R215" s="129">
        <f t="shared" si="159"/>
        <v>11097.023542125124</v>
      </c>
      <c r="S215" s="129">
        <f t="shared" si="159"/>
        <v>11291.221454112314</v>
      </c>
      <c r="T215" s="129">
        <f t="shared" si="159"/>
        <v>11488.817829559281</v>
      </c>
      <c r="U215" s="129">
        <f t="shared" si="159"/>
        <v>11689.872141576569</v>
      </c>
      <c r="V215" s="129">
        <f t="shared" si="159"/>
        <v>11894.444904054159</v>
      </c>
      <c r="W215" s="129">
        <f t="shared" si="159"/>
        <v>12102.597689875107</v>
      </c>
      <c r="X215" s="129">
        <f t="shared" si="159"/>
        <v>12314.393149447922</v>
      </c>
      <c r="Y215" s="129">
        <f t="shared" si="159"/>
        <v>12529.895029563262</v>
      </c>
      <c r="Z215" s="129">
        <f t="shared" si="159"/>
        <v>12749.168192580621</v>
      </c>
      <c r="AA215" s="129">
        <f t="shared" si="159"/>
        <v>12972.278635950783</v>
      </c>
      <c r="AB215" s="129">
        <f t="shared" si="159"/>
        <v>13199.293512079923</v>
      </c>
      <c r="AC215" s="129">
        <f t="shared" si="159"/>
        <v>13430.281148541322</v>
      </c>
      <c r="AD215" s="129">
        <f t="shared" si="159"/>
        <v>13665.311068640796</v>
      </c>
      <c r="AE215" s="129">
        <f t="shared" si="159"/>
        <v>13904.454012342012</v>
      </c>
      <c r="AF215" s="129">
        <f t="shared" si="159"/>
        <v>14147.781957557998</v>
      </c>
      <c r="AG215" s="129">
        <f t="shared" si="159"/>
        <v>14395.368141815265</v>
      </c>
      <c r="AH215" s="129">
        <f t="shared" si="159"/>
        <v>14647.287084297033</v>
      </c>
      <c r="AI215" s="129">
        <f t="shared" si="159"/>
        <v>14903.614608272232</v>
      </c>
      <c r="AJ215" s="129">
        <f t="shared" si="159"/>
        <v>15164.427863916997</v>
      </c>
      <c r="AK215" s="129">
        <f t="shared" si="159"/>
        <v>15429.805351535546</v>
      </c>
      <c r="AL215" s="129">
        <f t="shared" si="159"/>
        <v>15699.826945187418</v>
      </c>
      <c r="AM215" s="129">
        <f t="shared" si="159"/>
        <v>15974.573916728199</v>
      </c>
      <c r="AN215" s="129">
        <f t="shared" si="159"/>
        <v>16254.128960270944</v>
      </c>
      <c r="AO215" s="129">
        <f t="shared" si="159"/>
        <v>16538.576217075686</v>
      </c>
      <c r="AP215" s="129">
        <f t="shared" si="159"/>
        <v>16828.001300874512</v>
      </c>
      <c r="AQ215" s="129"/>
      <c r="AR215" s="129"/>
    </row>
    <row r="216" spans="1:52" s="220" customFormat="1">
      <c r="B216" s="220" t="s">
        <v>448</v>
      </c>
      <c r="C216" s="81"/>
      <c r="D216" s="81"/>
      <c r="E216" s="81"/>
      <c r="G216" s="275"/>
      <c r="H216" s="129"/>
      <c r="I216" s="276"/>
      <c r="J216" s="276"/>
      <c r="K216" s="276"/>
      <c r="L216" s="276"/>
      <c r="M216" s="275">
        <f t="shared" ref="M216:AP216" si="160">M213*(EarningsRate/2)</f>
        <v>126.76650000000001</v>
      </c>
      <c r="N216" s="275">
        <f t="shared" si="160"/>
        <v>234.93504825000002</v>
      </c>
      <c r="O216" s="275">
        <f t="shared" si="160"/>
        <v>346.10902250662502</v>
      </c>
      <c r="P216" s="275">
        <f t="shared" si="160"/>
        <v>460.35269872731959</v>
      </c>
      <c r="Q216" s="275">
        <f t="shared" si="160"/>
        <v>577.73160034930811</v>
      </c>
      <c r="R216" s="275">
        <f t="shared" si="160"/>
        <v>698.31252140832112</v>
      </c>
      <c r="S216" s="275">
        <f t="shared" si="160"/>
        <v>641.45855007542229</v>
      </c>
      <c r="T216" s="275">
        <f t="shared" si="160"/>
        <v>766.75169011939352</v>
      </c>
      <c r="U216" s="275">
        <f t="shared" si="160"/>
        <v>895.43517007601952</v>
      </c>
      <c r="V216" s="275">
        <f t="shared" si="160"/>
        <v>1027.5808968483716</v>
      </c>
      <c r="W216" s="275">
        <f t="shared" si="160"/>
        <v>1163.2621677578481</v>
      </c>
      <c r="X216" s="275">
        <f t="shared" si="160"/>
        <v>1302.5536962629942</v>
      </c>
      <c r="Y216" s="275">
        <f t="shared" si="160"/>
        <v>1445.5316381429589</v>
      </c>
      <c r="Z216" s="275">
        <f t="shared" si="160"/>
        <v>1592.2736181538742</v>
      </c>
      <c r="AA216" s="275">
        <f t="shared" si="160"/>
        <v>1351.9437571665865</v>
      </c>
      <c r="AB216" s="275">
        <f t="shared" si="160"/>
        <v>1502.3480922943188</v>
      </c>
      <c r="AC216" s="275">
        <f t="shared" si="160"/>
        <v>1110.4843291402483</v>
      </c>
      <c r="AD216" s="275">
        <f t="shared" si="160"/>
        <v>1074.7188666559048</v>
      </c>
      <c r="AE216" s="275">
        <f t="shared" si="160"/>
        <v>1229.4891809765202</v>
      </c>
      <c r="AF216" s="275">
        <f t="shared" si="160"/>
        <v>1388.3955845063647</v>
      </c>
      <c r="AG216" s="275">
        <f t="shared" si="160"/>
        <v>1551.5254486980407</v>
      </c>
      <c r="AH216" s="275">
        <f t="shared" si="160"/>
        <v>1718.9678313984302</v>
      </c>
      <c r="AI216" s="275">
        <f t="shared" si="160"/>
        <v>1577.4830080132326</v>
      </c>
      <c r="AJ216" s="275">
        <f t="shared" si="160"/>
        <v>1750.5345329842301</v>
      </c>
      <c r="AK216" s="275">
        <f t="shared" si="160"/>
        <v>1928.1416381516929</v>
      </c>
      <c r="AL216" s="275">
        <f t="shared" si="160"/>
        <v>1913.703581543409</v>
      </c>
      <c r="AM216" s="275">
        <f t="shared" si="160"/>
        <v>2098.6456520740826</v>
      </c>
      <c r="AN216" s="275">
        <f t="shared" si="160"/>
        <v>2288.4144575465061</v>
      </c>
      <c r="AO216" s="275">
        <f t="shared" si="160"/>
        <v>2483.1111634335894</v>
      </c>
      <c r="AP216" s="275">
        <f t="shared" si="160"/>
        <v>2682.8388809289368</v>
      </c>
      <c r="AQ216" s="275"/>
      <c r="AR216" s="129"/>
    </row>
    <row r="217" spans="1:52" s="220" customFormat="1">
      <c r="C217" s="81"/>
      <c r="D217" s="81"/>
      <c r="E217" s="81"/>
      <c r="G217" s="81"/>
      <c r="I217" s="81"/>
      <c r="J217" s="81"/>
      <c r="K217" s="81"/>
      <c r="L217" s="81"/>
      <c r="V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</row>
    <row r="218" spans="1:52" s="220" customFormat="1">
      <c r="B218" s="220" t="s">
        <v>449</v>
      </c>
      <c r="C218" s="81"/>
      <c r="D218" s="81"/>
      <c r="E218" s="81"/>
      <c r="G218" s="275">
        <f>'Control Panel'!P4</f>
        <v>179000</v>
      </c>
      <c r="H218" s="129"/>
      <c r="I218" s="276"/>
      <c r="J218" s="276"/>
      <c r="K218" s="276"/>
      <c r="L218" s="276"/>
      <c r="M218" s="129">
        <f>SUM(G218:G221)</f>
        <v>181000</v>
      </c>
      <c r="N218" s="129">
        <f>SUM(M218:M221)</f>
        <v>184935.5</v>
      </c>
      <c r="O218" s="129">
        <f t="shared" ref="O218:AP218" si="161">SUM(N218:N221)</f>
        <v>188947.93524999998</v>
      </c>
      <c r="P218" s="129">
        <f t="shared" si="161"/>
        <v>193038.73678887499</v>
      </c>
      <c r="Q218" s="129">
        <f t="shared" si="161"/>
        <v>197209.36158773629</v>
      </c>
      <c r="R218" s="129">
        <f t="shared" si="161"/>
        <v>201461.29301308078</v>
      </c>
      <c r="S218" s="129">
        <f t="shared" si="161"/>
        <v>205796.04129814316</v>
      </c>
      <c r="T218" s="129">
        <f t="shared" si="161"/>
        <v>210215.14402259613</v>
      </c>
      <c r="U218" s="129">
        <f t="shared" si="161"/>
        <v>214720.16660074523</v>
      </c>
      <c r="V218" s="129">
        <f t="shared" si="161"/>
        <v>219312.70277836837</v>
      </c>
      <c r="W218" s="129">
        <f t="shared" si="161"/>
        <v>223994.37513835207</v>
      </c>
      <c r="X218" s="129">
        <f t="shared" si="161"/>
        <v>228766.83561527979</v>
      </c>
      <c r="Y218" s="129">
        <f t="shared" si="161"/>
        <v>233631.76601912981</v>
      </c>
      <c r="Z218" s="129">
        <f t="shared" si="161"/>
        <v>238590.87856824329</v>
      </c>
      <c r="AA218" s="129">
        <f t="shared" si="161"/>
        <v>243645.91643172599</v>
      </c>
      <c r="AB218" s="129">
        <f t="shared" si="161"/>
        <v>248798.65428144927</v>
      </c>
      <c r="AC218" s="129">
        <f t="shared" si="161"/>
        <v>254050.89885382046</v>
      </c>
      <c r="AD218" s="129">
        <f t="shared" si="161"/>
        <v>259404.48952149382</v>
      </c>
      <c r="AE218" s="129">
        <f t="shared" si="161"/>
        <v>264861.29887519765</v>
      </c>
      <c r="AF218" s="129">
        <f t="shared" si="161"/>
        <v>270423.23331585561</v>
      </c>
      <c r="AG218" s="129">
        <f t="shared" si="161"/>
        <v>276092.23365718365</v>
      </c>
      <c r="AH218" s="129">
        <f t="shared" si="161"/>
        <v>281870.27573894709</v>
      </c>
      <c r="AI218" s="129">
        <f t="shared" si="161"/>
        <v>287759.37105106545</v>
      </c>
      <c r="AJ218" s="129">
        <f t="shared" si="161"/>
        <v>293761.56736875611</v>
      </c>
      <c r="AK218" s="129">
        <f t="shared" si="161"/>
        <v>299878.94939891144</v>
      </c>
      <c r="AL218" s="129">
        <f t="shared" si="161"/>
        <v>306113.63943790714</v>
      </c>
      <c r="AM218" s="129">
        <f t="shared" si="161"/>
        <v>312467.7980410427</v>
      </c>
      <c r="AN218" s="129">
        <f t="shared" si="161"/>
        <v>318943.62470381928</v>
      </c>
      <c r="AO218" s="129">
        <f t="shared" si="161"/>
        <v>325543.35855526355</v>
      </c>
      <c r="AP218" s="129">
        <f t="shared" si="161"/>
        <v>332269.27906350896</v>
      </c>
      <c r="AQ218" s="277"/>
      <c r="AR218" s="129">
        <f>SUM(AP218:AP221)</f>
        <v>339123.70675385068</v>
      </c>
    </row>
    <row r="219" spans="1:52" s="220" customFormat="1">
      <c r="B219" s="220" t="s">
        <v>450</v>
      </c>
      <c r="C219" s="81"/>
      <c r="D219" s="81"/>
      <c r="E219" s="81"/>
      <c r="G219" s="275">
        <f>G197</f>
        <v>0</v>
      </c>
      <c r="H219" s="129"/>
      <c r="I219" s="276"/>
      <c r="J219" s="276"/>
      <c r="K219" s="276"/>
      <c r="L219" s="276"/>
      <c r="M219" s="275">
        <f t="shared" ref="M219:AP219" si="162">M197</f>
        <v>0</v>
      </c>
      <c r="N219" s="275">
        <f t="shared" si="162"/>
        <v>0</v>
      </c>
      <c r="O219" s="275">
        <f t="shared" si="162"/>
        <v>0</v>
      </c>
      <c r="P219" s="275">
        <f t="shared" si="162"/>
        <v>0</v>
      </c>
      <c r="Q219" s="275">
        <f t="shared" si="162"/>
        <v>0</v>
      </c>
      <c r="R219" s="275">
        <f t="shared" si="162"/>
        <v>0</v>
      </c>
      <c r="S219" s="275">
        <f t="shared" si="162"/>
        <v>0</v>
      </c>
      <c r="T219" s="275">
        <f t="shared" si="162"/>
        <v>0</v>
      </c>
      <c r="U219" s="275">
        <f t="shared" si="162"/>
        <v>0</v>
      </c>
      <c r="V219" s="275">
        <f t="shared" si="162"/>
        <v>0</v>
      </c>
      <c r="W219" s="275">
        <f t="shared" si="162"/>
        <v>0</v>
      </c>
      <c r="X219" s="275">
        <f t="shared" si="162"/>
        <v>0</v>
      </c>
      <c r="Y219" s="275">
        <f t="shared" si="162"/>
        <v>0</v>
      </c>
      <c r="Z219" s="275">
        <f t="shared" si="162"/>
        <v>0</v>
      </c>
      <c r="AA219" s="275">
        <f t="shared" si="162"/>
        <v>0</v>
      </c>
      <c r="AB219" s="275">
        <f t="shared" si="162"/>
        <v>0</v>
      </c>
      <c r="AC219" s="275">
        <f t="shared" si="162"/>
        <v>0</v>
      </c>
      <c r="AD219" s="275">
        <f t="shared" si="162"/>
        <v>0</v>
      </c>
      <c r="AE219" s="275">
        <f t="shared" si="162"/>
        <v>0</v>
      </c>
      <c r="AF219" s="275">
        <f t="shared" si="162"/>
        <v>0</v>
      </c>
      <c r="AG219" s="275">
        <f t="shared" si="162"/>
        <v>0</v>
      </c>
      <c r="AH219" s="275">
        <f t="shared" si="162"/>
        <v>0</v>
      </c>
      <c r="AI219" s="275">
        <f t="shared" si="162"/>
        <v>0</v>
      </c>
      <c r="AJ219" s="275">
        <f t="shared" si="162"/>
        <v>0</v>
      </c>
      <c r="AK219" s="275">
        <f t="shared" si="162"/>
        <v>0</v>
      </c>
      <c r="AL219" s="275">
        <f t="shared" si="162"/>
        <v>0</v>
      </c>
      <c r="AM219" s="275">
        <f t="shared" si="162"/>
        <v>0</v>
      </c>
      <c r="AN219" s="275">
        <f t="shared" si="162"/>
        <v>0</v>
      </c>
      <c r="AO219" s="275">
        <f t="shared" si="162"/>
        <v>0</v>
      </c>
      <c r="AP219" s="275">
        <f t="shared" si="162"/>
        <v>0</v>
      </c>
      <c r="AQ219" s="129"/>
      <c r="AR219" s="129"/>
    </row>
    <row r="220" spans="1:52" s="220" customFormat="1">
      <c r="B220" s="220" t="s">
        <v>451</v>
      </c>
      <c r="C220" s="81"/>
      <c r="D220" s="81"/>
      <c r="E220" s="81"/>
      <c r="G220" s="275">
        <f>'Control Panel'!Q4</f>
        <v>2000</v>
      </c>
      <c r="H220" s="129"/>
      <c r="I220" s="276"/>
      <c r="J220" s="276"/>
      <c r="K220" s="276"/>
      <c r="L220" s="276"/>
      <c r="M220" s="129">
        <f>G220*(1+InflationRate/2)</f>
        <v>2035.0000000000002</v>
      </c>
      <c r="N220" s="129">
        <f t="shared" ref="N220:AP220" si="163">M220*(1+InflationRate/2)</f>
        <v>2070.6125000000002</v>
      </c>
      <c r="O220" s="129">
        <f t="shared" si="163"/>
        <v>2106.8482187500003</v>
      </c>
      <c r="P220" s="129">
        <f t="shared" si="163"/>
        <v>2143.7180625781257</v>
      </c>
      <c r="Q220" s="129">
        <f t="shared" si="163"/>
        <v>2181.2331286732428</v>
      </c>
      <c r="R220" s="129">
        <f t="shared" si="163"/>
        <v>2219.4047084250246</v>
      </c>
      <c r="S220" s="129">
        <f t="shared" si="163"/>
        <v>2258.2442908224625</v>
      </c>
      <c r="T220" s="129">
        <f t="shared" si="163"/>
        <v>2297.7635659118559</v>
      </c>
      <c r="U220" s="129">
        <f t="shared" si="163"/>
        <v>2337.9744283153136</v>
      </c>
      <c r="V220" s="129">
        <f t="shared" si="163"/>
        <v>2378.888980810832</v>
      </c>
      <c r="W220" s="129">
        <f t="shared" si="163"/>
        <v>2420.5195379750216</v>
      </c>
      <c r="X220" s="129">
        <f t="shared" si="163"/>
        <v>2462.8786298895848</v>
      </c>
      <c r="Y220" s="129">
        <f t="shared" si="163"/>
        <v>2505.9790059126526</v>
      </c>
      <c r="Z220" s="129">
        <f t="shared" si="163"/>
        <v>2549.8336385161242</v>
      </c>
      <c r="AA220" s="129">
        <f t="shared" si="163"/>
        <v>2594.4557271901567</v>
      </c>
      <c r="AB220" s="129">
        <f t="shared" si="163"/>
        <v>2639.8587024159847</v>
      </c>
      <c r="AC220" s="129">
        <f t="shared" si="163"/>
        <v>2686.0562297082647</v>
      </c>
      <c r="AD220" s="129">
        <f t="shared" si="163"/>
        <v>2733.0622137281593</v>
      </c>
      <c r="AE220" s="129">
        <f t="shared" si="163"/>
        <v>2780.8908024684024</v>
      </c>
      <c r="AF220" s="129">
        <f t="shared" si="163"/>
        <v>2829.5563915115995</v>
      </c>
      <c r="AG220" s="129">
        <f t="shared" si="163"/>
        <v>2879.0736283630526</v>
      </c>
      <c r="AH220" s="129">
        <f t="shared" si="163"/>
        <v>2929.4574168594063</v>
      </c>
      <c r="AI220" s="129">
        <f t="shared" si="163"/>
        <v>2980.7229216544461</v>
      </c>
      <c r="AJ220" s="129">
        <f t="shared" si="163"/>
        <v>3032.8855727833989</v>
      </c>
      <c r="AK220" s="129">
        <f t="shared" si="163"/>
        <v>3085.9610703071085</v>
      </c>
      <c r="AL220" s="129">
        <f t="shared" si="163"/>
        <v>3139.965389037483</v>
      </c>
      <c r="AM220" s="129">
        <f t="shared" si="163"/>
        <v>3194.9147833456391</v>
      </c>
      <c r="AN220" s="129">
        <f t="shared" si="163"/>
        <v>3250.8257920541878</v>
      </c>
      <c r="AO220" s="129">
        <f t="shared" si="163"/>
        <v>3307.7152434151362</v>
      </c>
      <c r="AP220" s="129">
        <f t="shared" si="163"/>
        <v>3365.6002601749015</v>
      </c>
      <c r="AQ220" s="129"/>
      <c r="AR220" s="129"/>
    </row>
    <row r="221" spans="1:52" s="220" customFormat="1">
      <c r="B221" s="220" t="s">
        <v>452</v>
      </c>
      <c r="C221" s="81"/>
      <c r="D221" s="81"/>
      <c r="E221" s="81"/>
      <c r="G221" s="275"/>
      <c r="H221" s="129"/>
      <c r="I221" s="276"/>
      <c r="J221" s="276"/>
      <c r="K221" s="276"/>
      <c r="L221" s="276"/>
      <c r="M221" s="275">
        <f t="shared" ref="M221:AP221" si="164">M218*(EarningsRate/2)</f>
        <v>1900.5000000000002</v>
      </c>
      <c r="N221" s="275">
        <f t="shared" si="164"/>
        <v>1941.82275</v>
      </c>
      <c r="O221" s="275">
        <f t="shared" si="164"/>
        <v>1983.9533201249999</v>
      </c>
      <c r="P221" s="275">
        <f t="shared" si="164"/>
        <v>2026.9067362831875</v>
      </c>
      <c r="Q221" s="275">
        <f t="shared" si="164"/>
        <v>2070.6982966712312</v>
      </c>
      <c r="R221" s="275">
        <f t="shared" si="164"/>
        <v>2115.3435766373482</v>
      </c>
      <c r="S221" s="275">
        <f t="shared" si="164"/>
        <v>2160.8584336305034</v>
      </c>
      <c r="T221" s="275">
        <f t="shared" si="164"/>
        <v>2207.2590122372594</v>
      </c>
      <c r="U221" s="275">
        <f t="shared" si="164"/>
        <v>2254.5617493078253</v>
      </c>
      <c r="V221" s="275">
        <f t="shared" si="164"/>
        <v>2302.7833791728681</v>
      </c>
      <c r="W221" s="275">
        <f t="shared" si="164"/>
        <v>2351.9409389526968</v>
      </c>
      <c r="X221" s="275">
        <f t="shared" si="164"/>
        <v>2402.0517739604379</v>
      </c>
      <c r="Y221" s="275">
        <f t="shared" si="164"/>
        <v>2453.1335432008632</v>
      </c>
      <c r="Z221" s="275">
        <f t="shared" si="164"/>
        <v>2505.2042249665546</v>
      </c>
      <c r="AA221" s="275">
        <f t="shared" si="164"/>
        <v>2558.2821225331231</v>
      </c>
      <c r="AB221" s="275">
        <f t="shared" si="164"/>
        <v>2612.3858699552175</v>
      </c>
      <c r="AC221" s="275">
        <f t="shared" si="164"/>
        <v>2667.5344379651151</v>
      </c>
      <c r="AD221" s="275">
        <f t="shared" si="164"/>
        <v>2723.7471399756851</v>
      </c>
      <c r="AE221" s="275">
        <f t="shared" si="164"/>
        <v>2781.0436381895756</v>
      </c>
      <c r="AF221" s="275">
        <f t="shared" si="164"/>
        <v>2839.4439498164843</v>
      </c>
      <c r="AG221" s="275">
        <f t="shared" si="164"/>
        <v>2898.9684534004286</v>
      </c>
      <c r="AH221" s="275">
        <f t="shared" si="164"/>
        <v>2959.6378952589448</v>
      </c>
      <c r="AI221" s="275">
        <f t="shared" si="164"/>
        <v>3021.4733960361873</v>
      </c>
      <c r="AJ221" s="275">
        <f t="shared" si="164"/>
        <v>3084.4964573719394</v>
      </c>
      <c r="AK221" s="275">
        <f t="shared" si="164"/>
        <v>3148.7289686885701</v>
      </c>
      <c r="AL221" s="275">
        <f t="shared" si="164"/>
        <v>3214.1932140980252</v>
      </c>
      <c r="AM221" s="275">
        <f t="shared" si="164"/>
        <v>3280.9118794309484</v>
      </c>
      <c r="AN221" s="275">
        <f t="shared" si="164"/>
        <v>3348.9080593901026</v>
      </c>
      <c r="AO221" s="275">
        <f t="shared" si="164"/>
        <v>3418.2052648302674</v>
      </c>
      <c r="AP221" s="275">
        <f t="shared" si="164"/>
        <v>3488.8274301668444</v>
      </c>
      <c r="AQ221" s="275"/>
      <c r="AR221" s="129"/>
    </row>
    <row r="223" spans="1:52">
      <c r="A223" s="154" t="s">
        <v>402</v>
      </c>
    </row>
    <row r="224" spans="1:52" ht="16.25" customHeight="1">
      <c r="A224" s="115" t="s">
        <v>232</v>
      </c>
      <c r="B224" s="115" t="s">
        <v>292</v>
      </c>
      <c r="C224" s="115" t="s">
        <v>385</v>
      </c>
      <c r="D224" s="120">
        <v>83</v>
      </c>
      <c r="E224" s="136">
        <f>'HGMD Unit Costs'!C176</f>
        <v>2019</v>
      </c>
      <c r="F224" s="137">
        <f>D224*'HGMD Unit Costs'!D176</f>
        <v>2490</v>
      </c>
      <c r="G224" s="80"/>
      <c r="H224" s="83">
        <f t="shared" ref="H224:H229" si="165">IF(F224*((1+InflationRate)^(AnalysisYear-E224))&lt;MinimumProjectCost,0,F224*((1+InflationRate)^(AnalysisYear-E224)))</f>
        <v>0</v>
      </c>
      <c r="I224" s="81">
        <v>2014</v>
      </c>
      <c r="K224" s="136"/>
      <c r="L224" s="97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R224" s="122"/>
      <c r="AT224" s="81"/>
      <c r="AU224" s="81"/>
      <c r="AV224" s="81"/>
      <c r="AW224" s="235"/>
      <c r="AZ224" s="235"/>
    </row>
    <row r="225" spans="1:52" ht="16.25" customHeight="1">
      <c r="A225" s="115" t="s">
        <v>232</v>
      </c>
      <c r="B225" s="115" t="s">
        <v>292</v>
      </c>
      <c r="C225" s="115" t="s">
        <v>387</v>
      </c>
      <c r="D225" s="120">
        <v>149</v>
      </c>
      <c r="E225" s="136">
        <f>'HGMD Unit Costs'!C176</f>
        <v>2019</v>
      </c>
      <c r="F225" s="137">
        <f>D225*'HGMD Unit Costs'!D176</f>
        <v>4470</v>
      </c>
      <c r="G225" s="80"/>
      <c r="H225" s="83">
        <f t="shared" si="165"/>
        <v>0</v>
      </c>
      <c r="I225" s="81">
        <v>2017</v>
      </c>
      <c r="K225" s="136"/>
      <c r="L225" s="97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R225" s="122"/>
      <c r="AT225" s="81"/>
      <c r="AU225" s="81"/>
      <c r="AV225" s="81"/>
      <c r="AW225" s="235"/>
      <c r="AZ225" s="235"/>
    </row>
    <row r="226" spans="1:52" ht="16.25" customHeight="1">
      <c r="A226" s="115" t="s">
        <v>233</v>
      </c>
      <c r="B226" s="115" t="s">
        <v>290</v>
      </c>
      <c r="C226" s="123" t="s">
        <v>0</v>
      </c>
      <c r="D226" s="124">
        <v>1</v>
      </c>
      <c r="E226" s="136">
        <f>AeratorShatter4CostYear</f>
        <v>2019</v>
      </c>
      <c r="F226" s="137">
        <f>D226*guttershopunitcost</f>
        <v>2844</v>
      </c>
      <c r="G226" s="80">
        <v>0</v>
      </c>
      <c r="H226" s="83">
        <f t="shared" si="165"/>
        <v>0</v>
      </c>
      <c r="I226" s="81">
        <v>2014</v>
      </c>
      <c r="J226" s="81">
        <v>0</v>
      </c>
      <c r="K226" s="136">
        <f>AeratorShatter4Life</f>
        <v>40</v>
      </c>
      <c r="L226" s="97"/>
      <c r="M226" s="83">
        <f t="shared" ref="M226:AP226" si="166">ROUND($H226*IF(AND(M$1&gt;=($I226+$J226),MOD(M$1-($I226+$J226),$K226)=0),(1+InflationRate)^(M$1-AnalysisYear),0),0)*IF(AND(M$1&gt;=($AT226+$AU226),(M$1-($AT226+$AU226))&lt;&gt;0,MOD(M$1-($AT226+$AU226),$AV226)=0),0,1)</f>
        <v>0</v>
      </c>
      <c r="N226" s="83">
        <f t="shared" si="166"/>
        <v>0</v>
      </c>
      <c r="O226" s="83">
        <f t="shared" si="166"/>
        <v>0</v>
      </c>
      <c r="P226" s="83">
        <f t="shared" si="166"/>
        <v>0</v>
      </c>
      <c r="Q226" s="83">
        <f t="shared" si="166"/>
        <v>0</v>
      </c>
      <c r="R226" s="83">
        <f t="shared" si="166"/>
        <v>0</v>
      </c>
      <c r="S226" s="83">
        <f t="shared" si="166"/>
        <v>0</v>
      </c>
      <c r="T226" s="83">
        <f t="shared" si="166"/>
        <v>0</v>
      </c>
      <c r="U226" s="83">
        <f t="shared" si="166"/>
        <v>0</v>
      </c>
      <c r="V226" s="83">
        <f t="shared" si="166"/>
        <v>0</v>
      </c>
      <c r="W226" s="83">
        <f t="shared" si="166"/>
        <v>0</v>
      </c>
      <c r="X226" s="83">
        <f t="shared" si="166"/>
        <v>0</v>
      </c>
      <c r="Y226" s="83">
        <f t="shared" si="166"/>
        <v>0</v>
      </c>
      <c r="Z226" s="83">
        <f t="shared" si="166"/>
        <v>0</v>
      </c>
      <c r="AA226" s="83">
        <f t="shared" si="166"/>
        <v>0</v>
      </c>
      <c r="AB226" s="83">
        <f t="shared" si="166"/>
        <v>0</v>
      </c>
      <c r="AC226" s="83">
        <f t="shared" si="166"/>
        <v>0</v>
      </c>
      <c r="AD226" s="83">
        <f t="shared" si="166"/>
        <v>0</v>
      </c>
      <c r="AE226" s="83">
        <f t="shared" si="166"/>
        <v>0</v>
      </c>
      <c r="AF226" s="83">
        <f t="shared" si="166"/>
        <v>0</v>
      </c>
      <c r="AG226" s="83">
        <f t="shared" si="166"/>
        <v>0</v>
      </c>
      <c r="AH226" s="83">
        <f t="shared" si="166"/>
        <v>0</v>
      </c>
      <c r="AI226" s="83">
        <f t="shared" si="166"/>
        <v>0</v>
      </c>
      <c r="AJ226" s="83">
        <f t="shared" si="166"/>
        <v>0</v>
      </c>
      <c r="AK226" s="83">
        <f t="shared" si="166"/>
        <v>0</v>
      </c>
      <c r="AL226" s="83">
        <f t="shared" si="166"/>
        <v>0</v>
      </c>
      <c r="AM226" s="83">
        <f t="shared" si="166"/>
        <v>0</v>
      </c>
      <c r="AN226" s="83">
        <f t="shared" si="166"/>
        <v>0</v>
      </c>
      <c r="AO226" s="83">
        <f t="shared" si="166"/>
        <v>0</v>
      </c>
      <c r="AP226" s="83">
        <f t="shared" si="166"/>
        <v>0</v>
      </c>
      <c r="AR226" s="122">
        <f>SUM(L226:AQ226)+0.0001</f>
        <v>1E-4</v>
      </c>
      <c r="AT226" s="81">
        <f>I226</f>
        <v>2014</v>
      </c>
      <c r="AU226" s="81">
        <f>J226</f>
        <v>0</v>
      </c>
      <c r="AV226" s="81">
        <v>100</v>
      </c>
      <c r="AW226" s="234">
        <f>IF($L226="F",1,0)</f>
        <v>0</v>
      </c>
      <c r="AX226" s="81">
        <f>IF($L226="L",1,0)</f>
        <v>0</v>
      </c>
      <c r="AY226" s="81">
        <f>IF($L226="T",1,0)</f>
        <v>0</v>
      </c>
      <c r="AZ226" s="236">
        <f>IF($L226="I",1,0)</f>
        <v>0</v>
      </c>
    </row>
    <row r="227" spans="1:52" ht="16.25" customHeight="1">
      <c r="A227" s="115" t="s">
        <v>232</v>
      </c>
      <c r="B227" s="115" t="s">
        <v>292</v>
      </c>
      <c r="C227" s="115" t="s">
        <v>400</v>
      </c>
      <c r="D227" s="124">
        <v>176</v>
      </c>
      <c r="E227" s="136">
        <f>'HGMD Unit Costs'!C47</f>
        <v>2019</v>
      </c>
      <c r="F227" s="137">
        <f>D227*'HGMD Unit Costs'!D47</f>
        <v>4100.8</v>
      </c>
      <c r="G227" s="80"/>
      <c r="H227" s="83">
        <f t="shared" si="165"/>
        <v>0</v>
      </c>
      <c r="I227" s="156"/>
      <c r="J227" s="115"/>
      <c r="K227" s="139">
        <f>'HGMD Unit Costs'!E47</f>
        <v>20</v>
      </c>
      <c r="L227" s="97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R227" s="122"/>
      <c r="AT227" s="81"/>
      <c r="AU227" s="81"/>
      <c r="AV227" s="81"/>
      <c r="AW227" s="234"/>
      <c r="AZ227" s="236"/>
    </row>
    <row r="228" spans="1:52" ht="16.25" customHeight="1">
      <c r="A228" s="115" t="s">
        <v>232</v>
      </c>
      <c r="B228" s="115" t="s">
        <v>292</v>
      </c>
      <c r="C228" s="123" t="s">
        <v>366</v>
      </c>
      <c r="D228" s="124">
        <v>66</v>
      </c>
      <c r="E228" s="136">
        <f>clubcarpeting7yearcostyear</f>
        <v>2018</v>
      </c>
      <c r="F228" s="138">
        <f>D228*clubcarpeting7yearunitcost</f>
        <v>4290</v>
      </c>
      <c r="G228" s="83">
        <v>0</v>
      </c>
      <c r="H228" s="83">
        <f t="shared" si="165"/>
        <v>0</v>
      </c>
      <c r="I228" s="81">
        <v>2012</v>
      </c>
      <c r="K228" s="136">
        <f>clubcarpeting7yearlife</f>
        <v>8</v>
      </c>
      <c r="L228" s="97"/>
      <c r="M228" s="83">
        <f t="shared" ref="M228:AP229" si="167">ROUND($H228*IF(AND(M$1&gt;=($I228+$J228),MOD(M$1-($I228+$J228),$K228)=0),(1+InflationRate)^(M$1-AnalysisYear),0),0)*IF(AND(M$1&gt;=($AT228+$AU228),(M$1-($AT228+$AU228))&lt;&gt;0,MOD(M$1-($AT228+$AU228),$AV228)=0),0,1)</f>
        <v>0</v>
      </c>
      <c r="N228" s="83">
        <f t="shared" si="167"/>
        <v>0</v>
      </c>
      <c r="O228" s="83">
        <f t="shared" si="167"/>
        <v>0</v>
      </c>
      <c r="P228" s="83">
        <f t="shared" si="167"/>
        <v>0</v>
      </c>
      <c r="Q228" s="83">
        <f t="shared" si="167"/>
        <v>0</v>
      </c>
      <c r="R228" s="83">
        <f t="shared" si="167"/>
        <v>0</v>
      </c>
      <c r="S228" s="83">
        <f t="shared" si="167"/>
        <v>0</v>
      </c>
      <c r="T228" s="83">
        <f t="shared" si="167"/>
        <v>0</v>
      </c>
      <c r="U228" s="83">
        <f t="shared" si="167"/>
        <v>0</v>
      </c>
      <c r="V228" s="83">
        <f t="shared" si="167"/>
        <v>0</v>
      </c>
      <c r="W228" s="83">
        <f t="shared" si="167"/>
        <v>0</v>
      </c>
      <c r="X228" s="83">
        <f t="shared" si="167"/>
        <v>0</v>
      </c>
      <c r="Y228" s="83">
        <f t="shared" si="167"/>
        <v>0</v>
      </c>
      <c r="Z228" s="83">
        <f t="shared" si="167"/>
        <v>0</v>
      </c>
      <c r="AA228" s="83">
        <f t="shared" si="167"/>
        <v>0</v>
      </c>
      <c r="AB228" s="83">
        <f t="shared" si="167"/>
        <v>0</v>
      </c>
      <c r="AC228" s="83">
        <f t="shared" si="167"/>
        <v>0</v>
      </c>
      <c r="AD228" s="83">
        <f t="shared" si="167"/>
        <v>0</v>
      </c>
      <c r="AE228" s="83">
        <f t="shared" si="167"/>
        <v>0</v>
      </c>
      <c r="AF228" s="83">
        <f t="shared" si="167"/>
        <v>0</v>
      </c>
      <c r="AG228" s="83">
        <f t="shared" si="167"/>
        <v>0</v>
      </c>
      <c r="AH228" s="83">
        <f t="shared" si="167"/>
        <v>0</v>
      </c>
      <c r="AI228" s="83">
        <f t="shared" si="167"/>
        <v>0</v>
      </c>
      <c r="AJ228" s="83">
        <f t="shared" si="167"/>
        <v>0</v>
      </c>
      <c r="AK228" s="83">
        <f t="shared" si="167"/>
        <v>0</v>
      </c>
      <c r="AL228" s="83">
        <f t="shared" si="167"/>
        <v>0</v>
      </c>
      <c r="AM228" s="83">
        <f t="shared" si="167"/>
        <v>0</v>
      </c>
      <c r="AN228" s="83">
        <f t="shared" si="167"/>
        <v>0</v>
      </c>
      <c r="AO228" s="83">
        <f t="shared" si="167"/>
        <v>0</v>
      </c>
      <c r="AP228" s="83">
        <f t="shared" si="167"/>
        <v>0</v>
      </c>
      <c r="AR228" s="122">
        <f>SUM(L228:AQ228)+0.0001</f>
        <v>1E-4</v>
      </c>
      <c r="AT228" s="81">
        <f>I228</f>
        <v>2012</v>
      </c>
      <c r="AU228" s="81">
        <f>J228</f>
        <v>0</v>
      </c>
      <c r="AV228" s="81">
        <v>100</v>
      </c>
      <c r="AW228" s="234">
        <f>IF($L228="F",1,0)</f>
        <v>0</v>
      </c>
      <c r="AX228" s="81">
        <f>IF($L228="L",1,0)</f>
        <v>0</v>
      </c>
      <c r="AY228" s="81">
        <f>IF($L228="T",1,0)</f>
        <v>0</v>
      </c>
      <c r="AZ228" s="236">
        <f>IF($L228="I",1,0)</f>
        <v>0</v>
      </c>
    </row>
    <row r="229" spans="1:52" ht="16.25" customHeight="1">
      <c r="A229" s="115" t="s">
        <v>232</v>
      </c>
      <c r="B229" s="115" t="s">
        <v>292</v>
      </c>
      <c r="C229" s="123" t="s">
        <v>345</v>
      </c>
      <c r="D229" s="125">
        <v>66</v>
      </c>
      <c r="E229" s="136">
        <f>carpetgolfshopbagstorageflooringcostyear</f>
        <v>2019</v>
      </c>
      <c r="F229" s="137">
        <f>D229*golfshopbagstorageflooringunitcost</f>
        <v>4511.76</v>
      </c>
      <c r="G229" s="80">
        <v>0</v>
      </c>
      <c r="H229" s="155">
        <f t="shared" si="165"/>
        <v>0</v>
      </c>
      <c r="I229" s="81">
        <v>2013</v>
      </c>
      <c r="J229" s="81">
        <v>0</v>
      </c>
      <c r="K229" s="136">
        <f>golfshopbagstorageflooringlife</f>
        <v>10</v>
      </c>
      <c r="L229" s="97"/>
      <c r="M229" s="83">
        <f t="shared" si="167"/>
        <v>0</v>
      </c>
      <c r="N229" s="83">
        <f t="shared" si="167"/>
        <v>0</v>
      </c>
      <c r="O229" s="83">
        <f t="shared" si="167"/>
        <v>0</v>
      </c>
      <c r="P229" s="83">
        <f t="shared" si="167"/>
        <v>0</v>
      </c>
      <c r="Q229" s="83">
        <f t="shared" si="167"/>
        <v>0</v>
      </c>
      <c r="R229" s="83">
        <f t="shared" si="167"/>
        <v>0</v>
      </c>
      <c r="S229" s="83">
        <f t="shared" si="167"/>
        <v>0</v>
      </c>
      <c r="T229" s="83">
        <f t="shared" si="167"/>
        <v>0</v>
      </c>
      <c r="U229" s="83">
        <f t="shared" si="167"/>
        <v>0</v>
      </c>
      <c r="V229" s="83">
        <f t="shared" si="167"/>
        <v>0</v>
      </c>
      <c r="W229" s="83">
        <f t="shared" si="167"/>
        <v>0</v>
      </c>
      <c r="X229" s="83">
        <f t="shared" si="167"/>
        <v>0</v>
      </c>
      <c r="Y229" s="83">
        <f t="shared" si="167"/>
        <v>0</v>
      </c>
      <c r="Z229" s="83">
        <f t="shared" si="167"/>
        <v>0</v>
      </c>
      <c r="AA229" s="83">
        <f t="shared" si="167"/>
        <v>0</v>
      </c>
      <c r="AB229" s="83">
        <f t="shared" si="167"/>
        <v>0</v>
      </c>
      <c r="AC229" s="83">
        <f t="shared" si="167"/>
        <v>0</v>
      </c>
      <c r="AD229" s="83">
        <f t="shared" si="167"/>
        <v>0</v>
      </c>
      <c r="AE229" s="83">
        <f t="shared" si="167"/>
        <v>0</v>
      </c>
      <c r="AF229" s="83">
        <f t="shared" si="167"/>
        <v>0</v>
      </c>
      <c r="AG229" s="83">
        <f t="shared" si="167"/>
        <v>0</v>
      </c>
      <c r="AH229" s="83">
        <f t="shared" si="167"/>
        <v>0</v>
      </c>
      <c r="AI229" s="83">
        <f t="shared" si="167"/>
        <v>0</v>
      </c>
      <c r="AJ229" s="83">
        <f t="shared" si="167"/>
        <v>0</v>
      </c>
      <c r="AK229" s="83">
        <f t="shared" si="167"/>
        <v>0</v>
      </c>
      <c r="AL229" s="83">
        <f t="shared" si="167"/>
        <v>0</v>
      </c>
      <c r="AM229" s="83">
        <f t="shared" si="167"/>
        <v>0</v>
      </c>
      <c r="AN229" s="83">
        <f t="shared" si="167"/>
        <v>0</v>
      </c>
      <c r="AO229" s="83">
        <f t="shared" si="167"/>
        <v>0</v>
      </c>
      <c r="AP229" s="83">
        <f t="shared" si="167"/>
        <v>0</v>
      </c>
      <c r="AR229" s="122">
        <f t="shared" ref="AR229" si="168">SUM(L229:AQ229)+0.0001</f>
        <v>1E-4</v>
      </c>
      <c r="AT229" s="81">
        <f t="shared" ref="AT229" si="169">I229</f>
        <v>2013</v>
      </c>
      <c r="AU229" s="81">
        <f t="shared" ref="AU229" si="170">J229</f>
        <v>0</v>
      </c>
      <c r="AV229" s="81">
        <v>100</v>
      </c>
      <c r="AW229" s="234">
        <f t="shared" ref="AW229" si="171">IF($L229="F",1,0)</f>
        <v>0</v>
      </c>
      <c r="AX229" s="81">
        <f t="shared" ref="AX229" si="172">IF($L229="L",1,0)</f>
        <v>0</v>
      </c>
      <c r="AY229" s="81">
        <f t="shared" ref="AY229" si="173">IF($L229="T",1,0)</f>
        <v>0</v>
      </c>
      <c r="AZ229" s="236">
        <f t="shared" ref="AZ229" si="174">IF($L229="I",1,0)</f>
        <v>0</v>
      </c>
    </row>
  </sheetData>
  <sortState ref="A3:AZ192">
    <sortCondition ref="A3:A192"/>
    <sortCondition ref="B3:B192"/>
    <sortCondition ref="C3:C192"/>
  </sortState>
  <phoneticPr fontId="1" type="noConversion"/>
  <pageMargins left="0.75" right="0.5" top="1" bottom="0.8" header="0.75" footer="0.6"/>
  <pageSetup scale="60" fitToHeight="4" orientation="landscape" useFirstPageNumber="1"/>
  <headerFooter>
    <oddHeader>&amp;C&amp;"Lucida Grande,Bold"&amp;16&amp;K000000Heather Gardens Metropolitan District Capital Reserve Componnet List</oddHeader>
    <oddFooter xml:space="preserve">&amp;C&amp;"Lucida Grande,Regular"&amp;12&amp;K000000Page &amp;P of &amp;N&amp;R&amp;"Lucida Grande,Regular"&amp;12&amp;K000000&amp;D </oddFooter>
  </headerFooter>
  <extLst>
    <ext xmlns:mx="http://schemas.microsoft.com/office/mac/excel/2008/main" uri="{64002731-A6B0-56B0-2670-7721B7C09600}">
      <mx:PLV Mode="0" OnePage="0" WScale="5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0"/>
  <sheetViews>
    <sheetView showGridLines="0" workbookViewId="0">
      <pane xSplit="2" ySplit="1" topLeftCell="C2" activePane="bottomRight" state="frozenSplit"/>
      <selection activeCell="B3" sqref="B3"/>
      <selection pane="topRight" activeCell="B3" sqref="B3"/>
      <selection pane="bottomLeft" activeCell="B3" sqref="B3"/>
      <selection pane="bottomRight" activeCell="B199" sqref="B199"/>
    </sheetView>
  </sheetViews>
  <sheetFormatPr baseColWidth="10" defaultColWidth="10.83203125" defaultRowHeight="15" x14ac:dyDescent="0"/>
  <cols>
    <col min="1" max="1" width="39.33203125" style="145" bestFit="1" customWidth="1"/>
    <col min="2" max="2" width="52.6640625" style="144" bestFit="1" customWidth="1"/>
    <col min="3" max="9" width="2.83203125" style="90" customWidth="1"/>
    <col min="10" max="10" width="2" style="90" customWidth="1"/>
    <col min="11" max="11" width="12.83203125" style="90" customWidth="1"/>
    <col min="12" max="34" width="12.6640625" style="90" bestFit="1" customWidth="1"/>
    <col min="35" max="41" width="15" style="90" bestFit="1" customWidth="1"/>
    <col min="42" max="42" width="1.83203125" style="90" customWidth="1"/>
    <col min="43" max="43" width="16.5" style="90" customWidth="1"/>
    <col min="44" max="16384" width="10.83203125" style="90"/>
  </cols>
  <sheetData>
    <row r="1" spans="1:43" s="1" customFormat="1" ht="35" customHeight="1" thickBot="1">
      <c r="A1" s="110" t="s">
        <v>145</v>
      </c>
      <c r="B1" s="140" t="s">
        <v>146</v>
      </c>
      <c r="C1" s="84"/>
      <c r="D1" s="84"/>
      <c r="E1" s="84"/>
      <c r="F1" s="84"/>
      <c r="G1" s="84"/>
      <c r="H1" s="84"/>
      <c r="I1" s="84"/>
      <c r="K1" s="13" t="str">
        <f>" "&amp;AnalysisYear-1&amp;" Deposits"</f>
        <v xml:space="preserve"> 2019 Deposits</v>
      </c>
      <c r="L1" s="13">
        <f>Components!M1</f>
        <v>2020</v>
      </c>
      <c r="M1" s="13">
        <f>Components!N1</f>
        <v>2021</v>
      </c>
      <c r="N1" s="13">
        <f>Components!O1</f>
        <v>2022</v>
      </c>
      <c r="O1" s="13">
        <f>Components!P1</f>
        <v>2023</v>
      </c>
      <c r="P1" s="13">
        <f>Components!Q1</f>
        <v>2024</v>
      </c>
      <c r="Q1" s="13">
        <f>Components!R1</f>
        <v>2025</v>
      </c>
      <c r="R1" s="13">
        <f>Components!S1</f>
        <v>2026</v>
      </c>
      <c r="S1" s="13">
        <f>Components!T1</f>
        <v>2027</v>
      </c>
      <c r="T1" s="13">
        <f>Components!U1</f>
        <v>2028</v>
      </c>
      <c r="U1" s="13">
        <f>Components!V1</f>
        <v>2029</v>
      </c>
      <c r="V1" s="13">
        <f>Components!W1</f>
        <v>2030</v>
      </c>
      <c r="W1" s="13">
        <f>Components!X1</f>
        <v>2031</v>
      </c>
      <c r="X1" s="13">
        <f>Components!Y1</f>
        <v>2032</v>
      </c>
      <c r="Y1" s="13">
        <f>Components!Z1</f>
        <v>2033</v>
      </c>
      <c r="Z1" s="13">
        <f>Components!AA1</f>
        <v>2034</v>
      </c>
      <c r="AA1" s="13">
        <f>Components!AB1</f>
        <v>2035</v>
      </c>
      <c r="AB1" s="13">
        <f>Components!AC1</f>
        <v>2036</v>
      </c>
      <c r="AC1" s="13">
        <f>Components!AD1</f>
        <v>2037</v>
      </c>
      <c r="AD1" s="13">
        <f>Components!AE1</f>
        <v>2038</v>
      </c>
      <c r="AE1" s="13">
        <f>Components!AF1</f>
        <v>2039</v>
      </c>
      <c r="AF1" s="13">
        <f>Components!AG1</f>
        <v>2040</v>
      </c>
      <c r="AG1" s="13">
        <f>Components!AH1</f>
        <v>2041</v>
      </c>
      <c r="AH1" s="13">
        <f>Components!AI1</f>
        <v>2042</v>
      </c>
      <c r="AI1" s="13">
        <f>Components!AJ1</f>
        <v>2043</v>
      </c>
      <c r="AJ1" s="13">
        <f>Components!AK1</f>
        <v>2044</v>
      </c>
      <c r="AK1" s="13">
        <f>Components!AL1</f>
        <v>2045</v>
      </c>
      <c r="AL1" s="13">
        <f>Components!AM1</f>
        <v>2046</v>
      </c>
      <c r="AM1" s="13">
        <f>Components!AN1</f>
        <v>2047</v>
      </c>
      <c r="AN1" s="13">
        <f>Components!AO1</f>
        <v>2048</v>
      </c>
      <c r="AO1" s="13">
        <f>Components!AP1</f>
        <v>2049</v>
      </c>
      <c r="AP1" s="53"/>
      <c r="AQ1" s="85" t="s">
        <v>100</v>
      </c>
    </row>
    <row r="2" spans="1:43" s="1" customFormat="1" ht="3" customHeight="1">
      <c r="A2" s="115"/>
      <c r="B2" s="141"/>
      <c r="F2" s="3"/>
      <c r="H2" s="31"/>
      <c r="I2" s="3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53"/>
      <c r="AQ2" s="87"/>
    </row>
    <row r="3" spans="1:43" s="1" customFormat="1">
      <c r="A3" s="220" t="str">
        <f>Components!B3</f>
        <v>Club Exterior</v>
      </c>
      <c r="B3" s="115" t="str">
        <f>Components!C3</f>
        <v xml:space="preserve">Gutter replacement </v>
      </c>
      <c r="F3" s="88"/>
      <c r="G3" s="3"/>
      <c r="H3" s="3"/>
      <c r="I3" s="3"/>
      <c r="K3" s="11">
        <f>IF('FF Balance'!H3&gt;=0,PPMT(EarningsRate,1,Components!K3,0,-'FF Balance'!G3,0),0)</f>
        <v>1860.198383933998</v>
      </c>
      <c r="L3" s="11">
        <f>IF(Components!M3&gt;0,PPMT(EarningsRate,1,Components!$K3,0,-Components!M3*((1+InflationRate)^Components!$K3),0),K3)</f>
        <v>1860.198383933998</v>
      </c>
      <c r="M3" s="11">
        <f>IF(Components!N3&gt;0,PPMT(EarningsRate,1,Components!$K3,0,-Components!N3*((1+InflationRate)^Components!$K3),0),L3)</f>
        <v>1860.198383933998</v>
      </c>
      <c r="N3" s="11">
        <f>IF(Components!O3&gt;0,PPMT(EarningsRate,1,Components!$K3,0,-Components!O3*((1+InflationRate)^Components!$K3),0),M3)</f>
        <v>1860.198383933998</v>
      </c>
      <c r="O3" s="11">
        <f>IF(Components!P3&gt;0,PPMT(EarningsRate,1,Components!$K3,0,-Components!P3*((1+InflationRate)^Components!$K3),0),N3)</f>
        <v>1860.198383933998</v>
      </c>
      <c r="P3" s="11">
        <f>IF(Components!Q3&gt;0,PPMT(EarningsRate,1,Components!$K3,0,-Components!Q3*((1+InflationRate)^Components!$K3),0),O3)</f>
        <v>1860.198383933998</v>
      </c>
      <c r="Q3" s="11">
        <f>IF(Components!R3&gt;0,PPMT(EarningsRate,1,Components!$K3,0,-Components!R3*((1+InflationRate)^Components!$K3),0),P3)</f>
        <v>1860.198383933998</v>
      </c>
      <c r="R3" s="11">
        <f>IF(Components!S3&gt;0,PPMT(EarningsRate,1,Components!$K3,0,-Components!S3*((1+InflationRate)^Components!$K3),0),Q3)</f>
        <v>1860.198383933998</v>
      </c>
      <c r="S3" s="11">
        <f>IF(Components!T3&gt;0,PPMT(EarningsRate,1,Components!$K3,0,-Components!T3*((1+InflationRate)^Components!$K3),0),R3)</f>
        <v>1860.198383933998</v>
      </c>
      <c r="T3" s="11">
        <f>IF(Components!U3&gt;0,PPMT(EarningsRate,1,Components!$K3,0,-Components!U3*((1+InflationRate)^Components!$K3),0),S3)</f>
        <v>1860.198383933998</v>
      </c>
      <c r="U3" s="11">
        <f>IF(Components!V3&gt;0,PPMT(EarningsRate,1,Components!$K3,0,-Components!V3*((1+InflationRate)^Components!$K3),0),T3)</f>
        <v>1860.198383933998</v>
      </c>
      <c r="V3" s="11">
        <f>IF(Components!W3&gt;0,PPMT(EarningsRate,1,Components!$K3,0,-Components!W3*((1+InflationRate)^Components!$K3),0),U3)</f>
        <v>1860.198383933998</v>
      </c>
      <c r="W3" s="11">
        <f>IF(Components!X3&gt;0,PPMT(EarningsRate,1,Components!$K3,0,-Components!X3*((1+InflationRate)^Components!$K3),0),V3)</f>
        <v>1860.198383933998</v>
      </c>
      <c r="X3" s="11">
        <f>IF(Components!Y3&gt;0,PPMT(EarningsRate,1,Components!$K3,0,-Components!Y3*((1+InflationRate)^Components!$K3),0),W3)</f>
        <v>1860.198383933998</v>
      </c>
      <c r="Y3" s="11">
        <f>IF(Components!Z3&gt;0,PPMT(EarningsRate,1,Components!$K3,0,-Components!Z3*((1+InflationRate)^Components!$K3),0),X3)</f>
        <v>1860.198383933998</v>
      </c>
      <c r="Z3" s="11">
        <f>IF(Components!AA3&gt;0,PPMT(EarningsRate,1,Components!$K3,0,-Components!AA3*((1+InflationRate)^Components!$K3),0),Y3)</f>
        <v>1860.198383933998</v>
      </c>
      <c r="AA3" s="11">
        <f>IF(Components!AB3&gt;0,PPMT(EarningsRate,1,Components!$K3,0,-Components!AB3*((1+InflationRate)^Components!$K3),0),Z3)</f>
        <v>1860.198383933998</v>
      </c>
      <c r="AB3" s="11">
        <f>IF(Components!AC3&gt;0,PPMT(EarningsRate,1,Components!$K3,0,-Components!AC3*((1+InflationRate)^Components!$K3),0),AA3)</f>
        <v>1860.198383933998</v>
      </c>
      <c r="AC3" s="11">
        <f>IF(Components!AD3&gt;0,PPMT(EarningsRate,1,Components!$K3,0,-Components!AD3*((1+InflationRate)^Components!$K3),0),AB3)</f>
        <v>1860.198383933998</v>
      </c>
      <c r="AD3" s="11">
        <f>IF(Components!AE3&gt;0,PPMT(EarningsRate,1,Components!$K3,0,-Components!AE3*((1+InflationRate)^Components!$K3),0),AC3)</f>
        <v>1860.198383933998</v>
      </c>
      <c r="AE3" s="11">
        <f>IF(Components!AF3&gt;0,PPMT(EarningsRate,1,Components!$K3,0,-Components!AF3*((1+InflationRate)^Components!$K3),0),AD3)</f>
        <v>1860.198383933998</v>
      </c>
      <c r="AF3" s="11">
        <f>IF(Components!AG3&gt;0,PPMT(EarningsRate,1,Components!$K3,0,-Components!AG3*((1+InflationRate)^Components!$K3),0),AE3)</f>
        <v>1860.198383933998</v>
      </c>
      <c r="AG3" s="11">
        <f>IF(Components!AH3&gt;0,PPMT(EarningsRate,1,Components!$K3,0,-Components!AH3*((1+InflationRate)^Components!$K3),0),AF3)</f>
        <v>1860.198383933998</v>
      </c>
      <c r="AH3" s="11">
        <f>IF(Components!AI3&gt;0,PPMT(EarningsRate,1,Components!$K3,0,-Components!AI3*((1+InflationRate)^Components!$K3),0),AG3)</f>
        <v>5221.1931135239474</v>
      </c>
      <c r="AI3" s="11">
        <f>IF(Components!AJ3&gt;0,PPMT(EarningsRate,1,Components!$K3,0,-Components!AJ3*((1+InflationRate)^Components!$K3),0),AH3)</f>
        <v>5221.1931135239474</v>
      </c>
      <c r="AJ3" s="11">
        <f>IF(Components!AK3&gt;0,PPMT(EarningsRate,1,Components!$K3,0,-Components!AK3*((1+InflationRate)^Components!$K3),0),AI3)</f>
        <v>5221.1931135239474</v>
      </c>
      <c r="AK3" s="11">
        <f>IF(Components!AL3&gt;0,PPMT(EarningsRate,1,Components!$K3,0,-Components!AL3*((1+InflationRate)^Components!$K3),0),AJ3)</f>
        <v>5221.1931135239474</v>
      </c>
      <c r="AL3" s="11">
        <f>IF(Components!AM3&gt;0,PPMT(EarningsRate,1,Components!$K3,0,-Components!AM3*((1+InflationRate)^Components!$K3),0),AK3)</f>
        <v>5221.1931135239474</v>
      </c>
      <c r="AM3" s="11">
        <f>IF(Components!AN3&gt;0,PPMT(EarningsRate,1,Components!$K3,0,-Components!AN3*((1+InflationRate)^Components!$K3),0),AL3)</f>
        <v>5221.1931135239474</v>
      </c>
      <c r="AN3" s="11">
        <f>IF(Components!AO3&gt;0,PPMT(EarningsRate,1,Components!$K3,0,-Components!AO3*((1+InflationRate)^Components!$K3),0),AM3)</f>
        <v>5221.1931135239474</v>
      </c>
      <c r="AO3" s="11">
        <f>IF(Components!AP3&gt;0,PPMT(EarningsRate,1,Components!$K3,0,-Components!AP3*((1+InflationRate)^Components!$K3),0),AN3)</f>
        <v>5221.1931135239474</v>
      </c>
      <c r="AP3" s="53"/>
      <c r="AQ3" s="11">
        <f t="shared" ref="AQ3" si="0">SUM(K3:AP3)+0.0001</f>
        <v>84554.107838673532</v>
      </c>
    </row>
    <row r="4" spans="1:43" s="1" customFormat="1">
      <c r="A4" s="220" t="str">
        <f>Components!B4</f>
        <v>Club Exterior</v>
      </c>
      <c r="B4" s="220" t="str">
        <f>Components!C4</f>
        <v>Paint Clubhouse</v>
      </c>
      <c r="C4" s="211"/>
      <c r="D4" s="211"/>
      <c r="E4" s="211"/>
      <c r="F4" s="88"/>
      <c r="G4" s="212"/>
      <c r="H4" s="212"/>
      <c r="I4" s="212"/>
      <c r="J4" s="211"/>
      <c r="K4" s="11">
        <f>IF('FF Balance'!H4&gt;=0,PPMT(EarningsRate,1,Components!K4,0,-'FF Balance'!G4,0),0)</f>
        <v>4788.4007737867742</v>
      </c>
      <c r="L4" s="11">
        <f>IF(Components!M4&gt;0,PPMT(EarningsRate,1,Components!$K4,0,-Components!M4*((1+InflationRate)^Components!$K4),0),K4)</f>
        <v>4788.4007737867742</v>
      </c>
      <c r="M4" s="11">
        <f>IF(Components!N4&gt;0,PPMT(EarningsRate,1,Components!$K4,0,-Components!N4*((1+InflationRate)^Components!$K4),0),L4)</f>
        <v>4788.4007737867742</v>
      </c>
      <c r="N4" s="11">
        <f>IF(Components!O4&gt;0,PPMT(EarningsRate,1,Components!$K4,0,-Components!O4*((1+InflationRate)^Components!$K4),0),M4)</f>
        <v>6754.51219686084</v>
      </c>
      <c r="O4" s="11">
        <f>IF(Components!P4&gt;0,PPMT(EarningsRate,1,Components!$K4,0,-Components!P4*((1+InflationRate)^Components!$K4),0),N4)</f>
        <v>6754.51219686084</v>
      </c>
      <c r="P4" s="11">
        <f>IF(Components!Q4&gt;0,PPMT(EarningsRate,1,Components!$K4,0,-Components!Q4*((1+InflationRate)^Components!$K4),0),O4)</f>
        <v>6754.51219686084</v>
      </c>
      <c r="Q4" s="11">
        <f>IF(Components!R4&gt;0,PPMT(EarningsRate,1,Components!$K4,0,-Components!R4*((1+InflationRate)^Components!$K4),0),P4)</f>
        <v>6754.51219686084</v>
      </c>
      <c r="R4" s="11">
        <f>IF(Components!S4&gt;0,PPMT(EarningsRate,1,Components!$K4,0,-Components!S4*((1+InflationRate)^Components!$K4),0),Q4)</f>
        <v>6754.51219686084</v>
      </c>
      <c r="S4" s="11">
        <f>IF(Components!T4&gt;0,PPMT(EarningsRate,1,Components!$K4,0,-Components!T4*((1+InflationRate)^Components!$K4),0),R4)</f>
        <v>6754.51219686084</v>
      </c>
      <c r="T4" s="11">
        <f>IF(Components!U4&gt;0,PPMT(EarningsRate,1,Components!$K4,0,-Components!U4*((1+InflationRate)^Components!$K4),0),S4)</f>
        <v>6754.51219686084</v>
      </c>
      <c r="U4" s="11">
        <f>IF(Components!V4&gt;0,PPMT(EarningsRate,1,Components!$K4,0,-Components!V4*((1+InflationRate)^Components!$K4),0),T4)</f>
        <v>6754.51219686084</v>
      </c>
      <c r="V4" s="11">
        <f>IF(Components!W4&gt;0,PPMT(EarningsRate,1,Components!$K4,0,-Components!W4*((1+InflationRate)^Components!$K4),0),U4)</f>
        <v>6754.51219686084</v>
      </c>
      <c r="W4" s="11">
        <f>IF(Components!X4&gt;0,PPMT(EarningsRate,1,Components!$K4,0,-Components!X4*((1+InflationRate)^Components!$K4),0),V4)</f>
        <v>6754.51219686084</v>
      </c>
      <c r="X4" s="11">
        <f>IF(Components!Y4&gt;0,PPMT(EarningsRate,1,Components!$K4,0,-Components!Y4*((1+InflationRate)^Components!$K4),0),W4)</f>
        <v>9528.0273433087859</v>
      </c>
      <c r="Y4" s="11">
        <f>IF(Components!Z4&gt;0,PPMT(EarningsRate,1,Components!$K4,0,-Components!Z4*((1+InflationRate)^Components!$K4),0),X4)</f>
        <v>9528.0273433087859</v>
      </c>
      <c r="Z4" s="11">
        <f>IF(Components!AA4&gt;0,PPMT(EarningsRate,1,Components!$K4,0,-Components!AA4*((1+InflationRate)^Components!$K4),0),Y4)</f>
        <v>9528.0273433087859</v>
      </c>
      <c r="AA4" s="11">
        <f>IF(Components!AB4&gt;0,PPMT(EarningsRate,1,Components!$K4,0,-Components!AB4*((1+InflationRate)^Components!$K4),0),Z4)</f>
        <v>9528.0273433087859</v>
      </c>
      <c r="AB4" s="11">
        <f>IF(Components!AC4&gt;0,PPMT(EarningsRate,1,Components!$K4,0,-Components!AC4*((1+InflationRate)^Components!$K4),0),AA4)</f>
        <v>9528.0273433087859</v>
      </c>
      <c r="AC4" s="11">
        <f>IF(Components!AD4&gt;0,PPMT(EarningsRate,1,Components!$K4,0,-Components!AD4*((1+InflationRate)^Components!$K4),0),AB4)</f>
        <v>9528.0273433087859</v>
      </c>
      <c r="AD4" s="11">
        <f>IF(Components!AE4&gt;0,PPMT(EarningsRate,1,Components!$K4,0,-Components!AE4*((1+InflationRate)^Components!$K4),0),AC4)</f>
        <v>9528.0273433087859</v>
      </c>
      <c r="AE4" s="11">
        <f>IF(Components!AF4&gt;0,PPMT(EarningsRate,1,Components!$K4,0,-Components!AF4*((1+InflationRate)^Components!$K4),0),AD4)</f>
        <v>9528.0273433087859</v>
      </c>
      <c r="AF4" s="11">
        <f>IF(Components!AG4&gt;0,PPMT(EarningsRate,1,Components!$K4,0,-Components!AG4*((1+InflationRate)^Components!$K4),0),AE4)</f>
        <v>9528.0273433087859</v>
      </c>
      <c r="AG4" s="11">
        <f>IF(Components!AH4&gt;0,PPMT(EarningsRate,1,Components!$K4,0,-Components!AH4*((1+InflationRate)^Components!$K4),0),AF4)</f>
        <v>9528.0273433087859</v>
      </c>
      <c r="AH4" s="11">
        <f>IF(Components!AI4&gt;0,PPMT(EarningsRate,1,Components!$K4,0,-Components!AI4*((1+InflationRate)^Components!$K4),0),AG4)</f>
        <v>13440.160992868967</v>
      </c>
      <c r="AI4" s="11">
        <f>IF(Components!AJ4&gt;0,PPMT(EarningsRate,1,Components!$K4,0,-Components!AJ4*((1+InflationRate)^Components!$K4),0),AH4)</f>
        <v>13440.160992868967</v>
      </c>
      <c r="AJ4" s="11">
        <f>IF(Components!AK4&gt;0,PPMT(EarningsRate,1,Components!$K4,0,-Components!AK4*((1+InflationRate)^Components!$K4),0),AI4)</f>
        <v>13440.160992868967</v>
      </c>
      <c r="AK4" s="11">
        <f>IF(Components!AL4&gt;0,PPMT(EarningsRate,1,Components!$K4,0,-Components!AL4*((1+InflationRate)^Components!$K4),0),AJ4)</f>
        <v>13440.160992868967</v>
      </c>
      <c r="AL4" s="11">
        <f>IF(Components!AM4&gt;0,PPMT(EarningsRate,1,Components!$K4,0,-Components!AM4*((1+InflationRate)^Components!$K4),0),AK4)</f>
        <v>13440.160992868967</v>
      </c>
      <c r="AM4" s="11">
        <f>IF(Components!AN4&gt;0,PPMT(EarningsRate,1,Components!$K4,0,-Components!AN4*((1+InflationRate)^Components!$K4),0),AL4)</f>
        <v>13440.160992868967</v>
      </c>
      <c r="AN4" s="11">
        <f>IF(Components!AO4&gt;0,PPMT(EarningsRate,1,Components!$K4,0,-Components!AO4*((1+InflationRate)^Components!$K4),0),AM4)</f>
        <v>13440.160992868967</v>
      </c>
      <c r="AO4" s="11">
        <f>IF(Components!AP4&gt;0,PPMT(EarningsRate,1,Components!$K4,0,-Components!AP4*((1+InflationRate)^Components!$K4),0),AN4)</f>
        <v>13440.160992868967</v>
      </c>
      <c r="AP4" s="214"/>
      <c r="AQ4" s="11">
        <f t="shared" ref="AQ4:AQ67" si="1">SUM(K4:AP4)+0.0001</f>
        <v>284711.88576600834</v>
      </c>
    </row>
    <row r="5" spans="1:43" s="1" customFormat="1">
      <c r="A5" s="220" t="str">
        <f>Components!B5</f>
        <v>Club Exterior</v>
      </c>
      <c r="B5" s="220" t="str">
        <f>Components!C5</f>
        <v>Roof, Club, shingles</v>
      </c>
      <c r="C5" s="211"/>
      <c r="D5" s="211"/>
      <c r="E5" s="211"/>
      <c r="F5" s="88"/>
      <c r="G5" s="212"/>
      <c r="H5" s="212"/>
      <c r="I5" s="212"/>
      <c r="J5" s="211"/>
      <c r="K5" s="11">
        <f>IF('FF Balance'!H5&gt;=0,PPMT(EarningsRate,1,Components!K5,0,-'FF Balance'!G5,0),0)</f>
        <v>12939.580500818363</v>
      </c>
      <c r="L5" s="11">
        <f>IF(Components!M5&gt;0,PPMT(EarningsRate,1,Components!$K5,0,-Components!M5*((1+InflationRate)^Components!$K5),0),K5)</f>
        <v>12939.580500818363</v>
      </c>
      <c r="M5" s="11">
        <f>IF(Components!N5&gt;0,PPMT(EarningsRate,1,Components!$K5,0,-Components!N5*((1+InflationRate)^Components!$K5),0),L5)</f>
        <v>12939.580500818363</v>
      </c>
      <c r="N5" s="11">
        <f>IF(Components!O5&gt;0,PPMT(EarningsRate,1,Components!$K5,0,-Components!O5*((1+InflationRate)^Components!$K5),0),M5)</f>
        <v>12939.580500818363</v>
      </c>
      <c r="O5" s="11">
        <f>IF(Components!P5&gt;0,PPMT(EarningsRate,1,Components!$K5,0,-Components!P5*((1+InflationRate)^Components!$K5),0),N5)</f>
        <v>12939.580500818363</v>
      </c>
      <c r="P5" s="11">
        <f>IF(Components!Q5&gt;0,PPMT(EarningsRate,1,Components!$K5,0,-Components!Q5*((1+InflationRate)^Components!$K5),0),O5)</f>
        <v>12939.580500818363</v>
      </c>
      <c r="Q5" s="11">
        <f>IF(Components!R5&gt;0,PPMT(EarningsRate,1,Components!$K5,0,-Components!R5*((1+InflationRate)^Components!$K5),0),P5)</f>
        <v>12939.580500818363</v>
      </c>
      <c r="R5" s="11">
        <f>IF(Components!S5&gt;0,PPMT(EarningsRate,1,Components!$K5,0,-Components!S5*((1+InflationRate)^Components!$K5),0),Q5)</f>
        <v>12939.580500818363</v>
      </c>
      <c r="S5" s="11">
        <f>IF(Components!T5&gt;0,PPMT(EarningsRate,1,Components!$K5,0,-Components!T5*((1+InflationRate)^Components!$K5),0),R5)</f>
        <v>12939.580500818363</v>
      </c>
      <c r="T5" s="11">
        <f>IF(Components!U5&gt;0,PPMT(EarningsRate,1,Components!$K5,0,-Components!U5*((1+InflationRate)^Components!$K5),0),S5)</f>
        <v>12939.580500818363</v>
      </c>
      <c r="U5" s="11">
        <f>IF(Components!V5&gt;0,PPMT(EarningsRate,1,Components!$K5,0,-Components!V5*((1+InflationRate)^Components!$K5),0),T5)</f>
        <v>12939.580500818363</v>
      </c>
      <c r="V5" s="11">
        <f>IF(Components!W5&gt;0,PPMT(EarningsRate,1,Components!$K5,0,-Components!W5*((1+InflationRate)^Components!$K5),0),U5)</f>
        <v>12939.580500818363</v>
      </c>
      <c r="W5" s="11">
        <f>IF(Components!X5&gt;0,PPMT(EarningsRate,1,Components!$K5,0,-Components!X5*((1+InflationRate)^Components!$K5),0),V5)</f>
        <v>12939.580500818363</v>
      </c>
      <c r="X5" s="11">
        <f>IF(Components!Y5&gt;0,PPMT(EarningsRate,1,Components!$K5,0,-Components!Y5*((1+InflationRate)^Components!$K5),0),W5)</f>
        <v>12939.580500818363</v>
      </c>
      <c r="Y5" s="11">
        <f>IF(Components!Z5&gt;0,PPMT(EarningsRate,1,Components!$K5,0,-Components!Z5*((1+InflationRate)^Components!$K5),0),X5)</f>
        <v>12939.580500818363</v>
      </c>
      <c r="Z5" s="11">
        <f>IF(Components!AA5&gt;0,PPMT(EarningsRate,1,Components!$K5,0,-Components!AA5*((1+InflationRate)^Components!$K5),0),Y5)</f>
        <v>12939.580500818363</v>
      </c>
      <c r="AA5" s="11">
        <f>IF(Components!AB5&gt;0,PPMT(EarningsRate,1,Components!$K5,0,-Components!AB5*((1+InflationRate)^Components!$K5),0),Z5)</f>
        <v>12939.580500818363</v>
      </c>
      <c r="AB5" s="11">
        <f>IF(Components!AC5&gt;0,PPMT(EarningsRate,1,Components!$K5,0,-Components!AC5*((1+InflationRate)^Components!$K5),0),AA5)</f>
        <v>12939.580500818363</v>
      </c>
      <c r="AC5" s="11">
        <f>IF(Components!AD5&gt;0,PPMT(EarningsRate,1,Components!$K5,0,-Components!AD5*((1+InflationRate)^Components!$K5),0),AB5)</f>
        <v>30579.398717078595</v>
      </c>
      <c r="AD5" s="11">
        <f>IF(Components!AE5&gt;0,PPMT(EarningsRate,1,Components!$K5,0,-Components!AE5*((1+InflationRate)^Components!$K5),0),AC5)</f>
        <v>30579.398717078595</v>
      </c>
      <c r="AE5" s="11">
        <f>IF(Components!AF5&gt;0,PPMT(EarningsRate,1,Components!$K5,0,-Components!AF5*((1+InflationRate)^Components!$K5),0),AD5)</f>
        <v>30579.398717078595</v>
      </c>
      <c r="AF5" s="11">
        <f>IF(Components!AG5&gt;0,PPMT(EarningsRate,1,Components!$K5,0,-Components!AG5*((1+InflationRate)^Components!$K5),0),AE5)</f>
        <v>30579.398717078595</v>
      </c>
      <c r="AG5" s="11">
        <f>IF(Components!AH5&gt;0,PPMT(EarningsRate,1,Components!$K5,0,-Components!AH5*((1+InflationRate)^Components!$K5),0),AF5)</f>
        <v>30579.398717078595</v>
      </c>
      <c r="AH5" s="11">
        <f>IF(Components!AI5&gt;0,PPMT(EarningsRate,1,Components!$K5,0,-Components!AI5*((1+InflationRate)^Components!$K5),0),AG5)</f>
        <v>30579.398717078595</v>
      </c>
      <c r="AI5" s="11">
        <f>IF(Components!AJ5&gt;0,PPMT(EarningsRate,1,Components!$K5,0,-Components!AJ5*((1+InflationRate)^Components!$K5),0),AH5)</f>
        <v>30579.398717078595</v>
      </c>
      <c r="AJ5" s="11">
        <f>IF(Components!AK5&gt;0,PPMT(EarningsRate,1,Components!$K5,0,-Components!AK5*((1+InflationRate)^Components!$K5),0),AI5)</f>
        <v>30579.398717078595</v>
      </c>
      <c r="AK5" s="11">
        <f>IF(Components!AL5&gt;0,PPMT(EarningsRate,1,Components!$K5,0,-Components!AL5*((1+InflationRate)^Components!$K5),0),AJ5)</f>
        <v>30579.398717078595</v>
      </c>
      <c r="AL5" s="11">
        <f>IF(Components!AM5&gt;0,PPMT(EarningsRate,1,Components!$K5,0,-Components!AM5*((1+InflationRate)^Components!$K5),0),AK5)</f>
        <v>30579.398717078595</v>
      </c>
      <c r="AM5" s="11">
        <f>IF(Components!AN5&gt;0,PPMT(EarningsRate,1,Components!$K5,0,-Components!AN5*((1+InflationRate)^Components!$K5),0),AL5)</f>
        <v>30579.398717078595</v>
      </c>
      <c r="AN5" s="11">
        <f>IF(Components!AO5&gt;0,PPMT(EarningsRate,1,Components!$K5,0,-Components!AO5*((1+InflationRate)^Components!$K5),0),AM5)</f>
        <v>30579.398717078595</v>
      </c>
      <c r="AO5" s="11">
        <f>IF(Components!AP5&gt;0,PPMT(EarningsRate,1,Components!$K5,0,-Components!AP5*((1+InflationRate)^Components!$K5),0),AN5)</f>
        <v>30579.398717078595</v>
      </c>
      <c r="AP5" s="214"/>
      <c r="AQ5" s="11">
        <f t="shared" si="1"/>
        <v>630444.63243675232</v>
      </c>
    </row>
    <row r="6" spans="1:43" s="1" customFormat="1">
      <c r="A6" s="220" t="str">
        <f>Components!B6</f>
        <v>Club Exterior</v>
      </c>
      <c r="B6" s="220" t="str">
        <f>Components!C6</f>
        <v xml:space="preserve">Roof, Club, TPO        </v>
      </c>
      <c r="C6" s="211"/>
      <c r="D6" s="211"/>
      <c r="E6" s="211"/>
      <c r="F6" s="88"/>
      <c r="G6" s="212"/>
      <c r="H6" s="212"/>
      <c r="I6" s="212"/>
      <c r="J6" s="211"/>
      <c r="K6" s="11">
        <f>IF('FF Balance'!H6&gt;=0,PPMT(EarningsRate,1,Components!K6,0,-'FF Balance'!G6,0),0)</f>
        <v>5725.4745516159401</v>
      </c>
      <c r="L6" s="11">
        <f>IF(Components!M6&gt;0,PPMT(EarningsRate,1,Components!$K6,0,-Components!M6*((1+InflationRate)^Components!$K6),0),K6)</f>
        <v>5725.4745516159401</v>
      </c>
      <c r="M6" s="11">
        <f>IF(Components!N6&gt;0,PPMT(EarningsRate,1,Components!$K6,0,-Components!N6*((1+InflationRate)^Components!$K6),0),L6)</f>
        <v>5725.4745516159401</v>
      </c>
      <c r="N6" s="11">
        <f>IF(Components!O6&gt;0,PPMT(EarningsRate,1,Components!$K6,0,-Components!O6*((1+InflationRate)^Components!$K6),0),M6)</f>
        <v>5725.4745516159401</v>
      </c>
      <c r="O6" s="11">
        <f>IF(Components!P6&gt;0,PPMT(EarningsRate,1,Components!$K6,0,-Components!P6*((1+InflationRate)^Components!$K6),0),N6)</f>
        <v>5725.4745516159401</v>
      </c>
      <c r="P6" s="11">
        <f>IF(Components!Q6&gt;0,PPMT(EarningsRate,1,Components!$K6,0,-Components!Q6*((1+InflationRate)^Components!$K6),0),O6)</f>
        <v>5725.4745516159401</v>
      </c>
      <c r="Q6" s="11">
        <f>IF(Components!R6&gt;0,PPMT(EarningsRate,1,Components!$K6,0,-Components!R6*((1+InflationRate)^Components!$K6),0),P6)</f>
        <v>5725.4745516159401</v>
      </c>
      <c r="R6" s="11">
        <f>IF(Components!S6&gt;0,PPMT(EarningsRate,1,Components!$K6,0,-Components!S6*((1+InflationRate)^Components!$K6),0),Q6)</f>
        <v>5725.4745516159401</v>
      </c>
      <c r="S6" s="11">
        <f>IF(Components!T6&gt;0,PPMT(EarningsRate,1,Components!$K6,0,-Components!T6*((1+InflationRate)^Components!$K6),0),R6)</f>
        <v>5725.4745516159401</v>
      </c>
      <c r="T6" s="11">
        <f>IF(Components!U6&gt;0,PPMT(EarningsRate,1,Components!$K6,0,-Components!U6*((1+InflationRate)^Components!$K6),0),S6)</f>
        <v>5725.4745516159401</v>
      </c>
      <c r="U6" s="11">
        <f>IF(Components!V6&gt;0,PPMT(EarningsRate,1,Components!$K6,0,-Components!V6*((1+InflationRate)^Components!$K6),0),T6)</f>
        <v>5725.4745516159401</v>
      </c>
      <c r="V6" s="11">
        <f>IF(Components!W6&gt;0,PPMT(EarningsRate,1,Components!$K6,0,-Components!W6*((1+InflationRate)^Components!$K6),0),U6)</f>
        <v>5725.4745516159401</v>
      </c>
      <c r="W6" s="11">
        <f>IF(Components!X6&gt;0,PPMT(EarningsRate,1,Components!$K6,0,-Components!X6*((1+InflationRate)^Components!$K6),0),V6)</f>
        <v>5725.4745516159401</v>
      </c>
      <c r="X6" s="11">
        <f>IF(Components!Y6&gt;0,PPMT(EarningsRate,1,Components!$K6,0,-Components!Y6*((1+InflationRate)^Components!$K6),0),W6)</f>
        <v>5725.4745516159401</v>
      </c>
      <c r="Y6" s="11">
        <f>IF(Components!Z6&gt;0,PPMT(EarningsRate,1,Components!$K6,0,-Components!Z6*((1+InflationRate)^Components!$K6),0),X6)</f>
        <v>5725.4745516159401</v>
      </c>
      <c r="Z6" s="11">
        <f>IF(Components!AA6&gt;0,PPMT(EarningsRate,1,Components!$K6,0,-Components!AA6*((1+InflationRate)^Components!$K6),0),Y6)</f>
        <v>5725.4745516159401</v>
      </c>
      <c r="AA6" s="11">
        <f>IF(Components!AB6&gt;0,PPMT(EarningsRate,1,Components!$K6,0,-Components!AB6*((1+InflationRate)^Components!$K6),0),Z6)</f>
        <v>5725.4745516159401</v>
      </c>
      <c r="AB6" s="11">
        <f>IF(Components!AC6&gt;0,PPMT(EarningsRate,1,Components!$K6,0,-Components!AC6*((1+InflationRate)^Components!$K6),0),AA6)</f>
        <v>5725.4745516159401</v>
      </c>
      <c r="AC6" s="11">
        <f>IF(Components!AD6&gt;0,PPMT(EarningsRate,1,Components!$K6,0,-Components!AD6*((1+InflationRate)^Components!$K6),0),AB6)</f>
        <v>13530.699016654951</v>
      </c>
      <c r="AD6" s="11">
        <f>IF(Components!AE6&gt;0,PPMT(EarningsRate,1,Components!$K6,0,-Components!AE6*((1+InflationRate)^Components!$K6),0),AC6)</f>
        <v>13530.699016654951</v>
      </c>
      <c r="AE6" s="11">
        <f>IF(Components!AF6&gt;0,PPMT(EarningsRate,1,Components!$K6,0,-Components!AF6*((1+InflationRate)^Components!$K6),0),AD6)</f>
        <v>13530.699016654951</v>
      </c>
      <c r="AF6" s="11">
        <f>IF(Components!AG6&gt;0,PPMT(EarningsRate,1,Components!$K6,0,-Components!AG6*((1+InflationRate)^Components!$K6),0),AE6)</f>
        <v>13530.699016654951</v>
      </c>
      <c r="AG6" s="11">
        <f>IF(Components!AH6&gt;0,PPMT(EarningsRate,1,Components!$K6,0,-Components!AH6*((1+InflationRate)^Components!$K6),0),AF6)</f>
        <v>13530.699016654951</v>
      </c>
      <c r="AH6" s="11">
        <f>IF(Components!AI6&gt;0,PPMT(EarningsRate,1,Components!$K6,0,-Components!AI6*((1+InflationRate)^Components!$K6),0),AG6)</f>
        <v>13530.699016654951</v>
      </c>
      <c r="AI6" s="11">
        <f>IF(Components!AJ6&gt;0,PPMT(EarningsRate,1,Components!$K6,0,-Components!AJ6*((1+InflationRate)^Components!$K6),0),AH6)</f>
        <v>13530.699016654951</v>
      </c>
      <c r="AJ6" s="11">
        <f>IF(Components!AK6&gt;0,PPMT(EarningsRate,1,Components!$K6,0,-Components!AK6*((1+InflationRate)^Components!$K6),0),AI6)</f>
        <v>13530.699016654951</v>
      </c>
      <c r="AK6" s="11">
        <f>IF(Components!AL6&gt;0,PPMT(EarningsRate,1,Components!$K6,0,-Components!AL6*((1+InflationRate)^Components!$K6),0),AJ6)</f>
        <v>13530.699016654951</v>
      </c>
      <c r="AL6" s="11">
        <f>IF(Components!AM6&gt;0,PPMT(EarningsRate,1,Components!$K6,0,-Components!AM6*((1+InflationRate)^Components!$K6),0),AK6)</f>
        <v>13530.699016654951</v>
      </c>
      <c r="AM6" s="11">
        <f>IF(Components!AN6&gt;0,PPMT(EarningsRate,1,Components!$K6,0,-Components!AN6*((1+InflationRate)^Components!$K6),0),AL6)</f>
        <v>13530.699016654951</v>
      </c>
      <c r="AN6" s="11">
        <f>IF(Components!AO6&gt;0,PPMT(EarningsRate,1,Components!$K6,0,-Components!AO6*((1+InflationRate)^Components!$K6),0),AM6)</f>
        <v>13530.699016654951</v>
      </c>
      <c r="AO6" s="11">
        <f>IF(Components!AP6&gt;0,PPMT(EarningsRate,1,Components!$K6,0,-Components!AP6*((1+InflationRate)^Components!$K6),0),AN6)</f>
        <v>13530.699016654951</v>
      </c>
      <c r="AP6" s="214"/>
      <c r="AQ6" s="11">
        <f t="shared" si="1"/>
        <v>278957.6292456013</v>
      </c>
    </row>
    <row r="7" spans="1:43" s="1" customFormat="1">
      <c r="A7" s="220" t="str">
        <f>Components!B7</f>
        <v>Club Exterior</v>
      </c>
      <c r="B7" s="220" t="str">
        <f>Components!C7</f>
        <v>Roof, Picnic Pavilion, shingles</v>
      </c>
      <c r="C7" s="211"/>
      <c r="D7" s="211"/>
      <c r="E7" s="211"/>
      <c r="F7" s="88"/>
      <c r="G7" s="212"/>
      <c r="H7" s="212"/>
      <c r="I7" s="212"/>
      <c r="J7" s="211"/>
      <c r="K7" s="11">
        <f>IF('FF Balance'!H7&gt;=0,PPMT(EarningsRate,1,Components!K7,0,-'FF Balance'!G7,0),0)</f>
        <v>553.19324345138489</v>
      </c>
      <c r="L7" s="11">
        <f>IF(Components!M7&gt;0,PPMT(EarningsRate,1,Components!$K7,0,-Components!M7*((1+InflationRate)^Components!$K7),0),K7)</f>
        <v>553.19324345138489</v>
      </c>
      <c r="M7" s="11">
        <f>IF(Components!N7&gt;0,PPMT(EarningsRate,1,Components!$K7,0,-Components!N7*((1+InflationRate)^Components!$K7),0),L7)</f>
        <v>553.19324345138489</v>
      </c>
      <c r="N7" s="11">
        <f>IF(Components!O7&gt;0,PPMT(EarningsRate,1,Components!$K7,0,-Components!O7*((1+InflationRate)^Components!$K7),0),M7)</f>
        <v>553.19324345138489</v>
      </c>
      <c r="O7" s="11">
        <f>IF(Components!P7&gt;0,PPMT(EarningsRate,1,Components!$K7,0,-Components!P7*((1+InflationRate)^Components!$K7),0),N7)</f>
        <v>553.19324345138489</v>
      </c>
      <c r="P7" s="11">
        <f>IF(Components!Q7&gt;0,PPMT(EarningsRate,1,Components!$K7,0,-Components!Q7*((1+InflationRate)^Components!$K7),0),O7)</f>
        <v>553.19324345138489</v>
      </c>
      <c r="Q7" s="11">
        <f>IF(Components!R7&gt;0,PPMT(EarningsRate,1,Components!$K7,0,-Components!R7*((1+InflationRate)^Components!$K7),0),P7)</f>
        <v>553.19324345138489</v>
      </c>
      <c r="R7" s="11">
        <f>IF(Components!S7&gt;0,PPMT(EarningsRate,1,Components!$K7,0,-Components!S7*((1+InflationRate)^Components!$K7),0),Q7)</f>
        <v>553.19324345138489</v>
      </c>
      <c r="S7" s="11">
        <f>IF(Components!T7&gt;0,PPMT(EarningsRate,1,Components!$K7,0,-Components!T7*((1+InflationRate)^Components!$K7),0),R7)</f>
        <v>553.19324345138489</v>
      </c>
      <c r="T7" s="11">
        <f>IF(Components!U7&gt;0,PPMT(EarningsRate,1,Components!$K7,0,-Components!U7*((1+InflationRate)^Components!$K7),0),S7)</f>
        <v>553.19324345138489</v>
      </c>
      <c r="U7" s="11">
        <f>IF(Components!V7&gt;0,PPMT(EarningsRate,1,Components!$K7,0,-Components!V7*((1+InflationRate)^Components!$K7),0),T7)</f>
        <v>553.19324345138489</v>
      </c>
      <c r="V7" s="11">
        <f>IF(Components!W7&gt;0,PPMT(EarningsRate,1,Components!$K7,0,-Components!W7*((1+InflationRate)^Components!$K7),0),U7)</f>
        <v>553.19324345138489</v>
      </c>
      <c r="W7" s="11">
        <f>IF(Components!X7&gt;0,PPMT(EarningsRate,1,Components!$K7,0,-Components!X7*((1+InflationRate)^Components!$K7),0),V7)</f>
        <v>553.19324345138489</v>
      </c>
      <c r="X7" s="11">
        <f>IF(Components!Y7&gt;0,PPMT(EarningsRate,1,Components!$K7,0,-Components!Y7*((1+InflationRate)^Components!$K7),0),W7)</f>
        <v>553.19324345138489</v>
      </c>
      <c r="Y7" s="11">
        <f>IF(Components!Z7&gt;0,PPMT(EarningsRate,1,Components!$K7,0,-Components!Z7*((1+InflationRate)^Components!$K7),0),X7)</f>
        <v>553.19324345138489</v>
      </c>
      <c r="Z7" s="11">
        <f>IF(Components!AA7&gt;0,PPMT(EarningsRate,1,Components!$K7,0,-Components!AA7*((1+InflationRate)^Components!$K7),0),Y7)</f>
        <v>553.19324345138489</v>
      </c>
      <c r="AA7" s="11">
        <f>IF(Components!AB7&gt;0,PPMT(EarningsRate,1,Components!$K7,0,-Components!AB7*((1+InflationRate)^Components!$K7),0),Z7)</f>
        <v>553.19324345138489</v>
      </c>
      <c r="AB7" s="11">
        <f>IF(Components!AC7&gt;0,PPMT(EarningsRate,1,Components!$K7,0,-Components!AC7*((1+InflationRate)^Components!$K7),0),AA7)</f>
        <v>1307.3311579169006</v>
      </c>
      <c r="AC7" s="11">
        <f>IF(Components!AD7&gt;0,PPMT(EarningsRate,1,Components!$K7,0,-Components!AD7*((1+InflationRate)^Components!$K7),0),AB7)</f>
        <v>1307.3311579169006</v>
      </c>
      <c r="AD7" s="11">
        <f>IF(Components!AE7&gt;0,PPMT(EarningsRate,1,Components!$K7,0,-Components!AE7*((1+InflationRate)^Components!$K7),0),AC7)</f>
        <v>1307.3311579169006</v>
      </c>
      <c r="AE7" s="11">
        <f>IF(Components!AF7&gt;0,PPMT(EarningsRate,1,Components!$K7,0,-Components!AF7*((1+InflationRate)^Components!$K7),0),AD7)</f>
        <v>1307.3311579169006</v>
      </c>
      <c r="AF7" s="11">
        <f>IF(Components!AG7&gt;0,PPMT(EarningsRate,1,Components!$K7,0,-Components!AG7*((1+InflationRate)^Components!$K7),0),AE7)</f>
        <v>1307.3311579169006</v>
      </c>
      <c r="AG7" s="11">
        <f>IF(Components!AH7&gt;0,PPMT(EarningsRate,1,Components!$K7,0,-Components!AH7*((1+InflationRate)^Components!$K7),0),AF7)</f>
        <v>1307.3311579169006</v>
      </c>
      <c r="AH7" s="11">
        <f>IF(Components!AI7&gt;0,PPMT(EarningsRate,1,Components!$K7,0,-Components!AI7*((1+InflationRate)^Components!$K7),0),AG7)</f>
        <v>1307.3311579169006</v>
      </c>
      <c r="AI7" s="11">
        <f>IF(Components!AJ7&gt;0,PPMT(EarningsRate,1,Components!$K7,0,-Components!AJ7*((1+InflationRate)^Components!$K7),0),AH7)</f>
        <v>1307.3311579169006</v>
      </c>
      <c r="AJ7" s="11">
        <f>IF(Components!AK7&gt;0,PPMT(EarningsRate,1,Components!$K7,0,-Components!AK7*((1+InflationRate)^Components!$K7),0),AI7)</f>
        <v>1307.3311579169006</v>
      </c>
      <c r="AK7" s="11">
        <f>IF(Components!AL7&gt;0,PPMT(EarningsRate,1,Components!$K7,0,-Components!AL7*((1+InflationRate)^Components!$K7),0),AJ7)</f>
        <v>1307.3311579169006</v>
      </c>
      <c r="AL7" s="11">
        <f>IF(Components!AM7&gt;0,PPMT(EarningsRate,1,Components!$K7,0,-Components!AM7*((1+InflationRate)^Components!$K7),0),AK7)</f>
        <v>1307.3311579169006</v>
      </c>
      <c r="AM7" s="11">
        <f>IF(Components!AN7&gt;0,PPMT(EarningsRate,1,Components!$K7,0,-Components!AN7*((1+InflationRate)^Components!$K7),0),AL7)</f>
        <v>1307.3311579169006</v>
      </c>
      <c r="AN7" s="11">
        <f>IF(Components!AO7&gt;0,PPMT(EarningsRate,1,Components!$K7,0,-Components!AO7*((1+InflationRate)^Components!$K7),0),AM7)</f>
        <v>1307.3311579169006</v>
      </c>
      <c r="AO7" s="11">
        <f>IF(Components!AP7&gt;0,PPMT(EarningsRate,1,Components!$K7,0,-Components!AP7*((1+InflationRate)^Components!$K7),0),AN7)</f>
        <v>1307.3311579169006</v>
      </c>
      <c r="AP7" s="214"/>
      <c r="AQ7" s="11">
        <f t="shared" si="1"/>
        <v>27706.921449510162</v>
      </c>
    </row>
    <row r="8" spans="1:43" s="1" customFormat="1">
      <c r="A8" s="220" t="str">
        <f>Components!B8</f>
        <v>Club Exterior</v>
      </c>
      <c r="B8" s="220" t="str">
        <f>Components!C8</f>
        <v>Window replacement, Club</v>
      </c>
      <c r="C8" s="211"/>
      <c r="D8" s="211"/>
      <c r="E8" s="211"/>
      <c r="F8" s="88"/>
      <c r="G8" s="212"/>
      <c r="H8" s="212"/>
      <c r="I8" s="212"/>
      <c r="J8" s="211"/>
      <c r="K8" s="11">
        <f>IF('FF Balance'!H8&gt;=0,PPMT(EarningsRate,1,Components!K8,0,-'FF Balance'!G8,0),0)</f>
        <v>1812.1571279740547</v>
      </c>
      <c r="L8" s="11">
        <f>IF(Components!M8&gt;0,PPMT(EarningsRate,1,Components!$K8,0,-Components!M8*((1+InflationRate)^Components!$K8),0),K8)</f>
        <v>1812.1571279740547</v>
      </c>
      <c r="M8" s="11">
        <f>IF(Components!N8&gt;0,PPMT(EarningsRate,1,Components!$K8,0,-Components!N8*((1+InflationRate)^Components!$K8),0),L8)</f>
        <v>1812.1571279740547</v>
      </c>
      <c r="N8" s="11">
        <f>IF(Components!O8&gt;0,PPMT(EarningsRate,1,Components!$K8,0,-Components!O8*((1+InflationRate)^Components!$K8),0),M8)</f>
        <v>1812.1571279740547</v>
      </c>
      <c r="O8" s="11">
        <f>IF(Components!P8&gt;0,PPMT(EarningsRate,1,Components!$K8,0,-Components!P8*((1+InflationRate)^Components!$K8),0),N8)</f>
        <v>1812.1571279740547</v>
      </c>
      <c r="P8" s="11">
        <f>IF(Components!Q8&gt;0,PPMT(EarningsRate,1,Components!$K8,0,-Components!Q8*((1+InflationRate)^Components!$K8),0),O8)</f>
        <v>1812.1571279740547</v>
      </c>
      <c r="Q8" s="11">
        <f>IF(Components!R8&gt;0,PPMT(EarningsRate,1,Components!$K8,0,-Components!R8*((1+InflationRate)^Components!$K8),0),P8)</f>
        <v>1812.1571279740547</v>
      </c>
      <c r="R8" s="11">
        <f>IF(Components!S8&gt;0,PPMT(EarningsRate,1,Components!$K8,0,-Components!S8*((1+InflationRate)^Components!$K8),0),Q8)</f>
        <v>1812.1571279740547</v>
      </c>
      <c r="S8" s="11">
        <f>IF(Components!T8&gt;0,PPMT(EarningsRate,1,Components!$K8,0,-Components!T8*((1+InflationRate)^Components!$K8),0),R8)</f>
        <v>1812.1571279740547</v>
      </c>
      <c r="T8" s="11">
        <f>IF(Components!U8&gt;0,PPMT(EarningsRate,1,Components!$K8,0,-Components!U8*((1+InflationRate)^Components!$K8),0),S8)</f>
        <v>1812.1571279740547</v>
      </c>
      <c r="U8" s="11">
        <f>IF(Components!V8&gt;0,PPMT(EarningsRate,1,Components!$K8,0,-Components!V8*((1+InflationRate)^Components!$K8),0),T8)</f>
        <v>1812.1571279740547</v>
      </c>
      <c r="V8" s="11">
        <f>IF(Components!W8&gt;0,PPMT(EarningsRate,1,Components!$K8,0,-Components!W8*((1+InflationRate)^Components!$K8),0),U8)</f>
        <v>1812.1571279740547</v>
      </c>
      <c r="W8" s="11">
        <f>IF(Components!X8&gt;0,PPMT(EarningsRate,1,Components!$K8,0,-Components!X8*((1+InflationRate)^Components!$K8),0),V8)</f>
        <v>1812.1571279740547</v>
      </c>
      <c r="X8" s="11">
        <f>IF(Components!Y8&gt;0,PPMT(EarningsRate,1,Components!$K8,0,-Components!Y8*((1+InflationRate)^Components!$K8),0),W8)</f>
        <v>1812.1571279740547</v>
      </c>
      <c r="Y8" s="11">
        <f>IF(Components!Z8&gt;0,PPMT(EarningsRate,1,Components!$K8,0,-Components!Z8*((1+InflationRate)^Components!$K8),0),X8)</f>
        <v>1812.1571279740547</v>
      </c>
      <c r="Z8" s="11">
        <f>IF(Components!AA8&gt;0,PPMT(EarningsRate,1,Components!$K8,0,-Components!AA8*((1+InflationRate)^Components!$K8),0),Y8)</f>
        <v>1812.1571279740547</v>
      </c>
      <c r="AA8" s="11">
        <f>IF(Components!AB8&gt;0,PPMT(EarningsRate,1,Components!$K8,0,-Components!AB8*((1+InflationRate)^Components!$K8),0),Z8)</f>
        <v>1812.1571279740547</v>
      </c>
      <c r="AB8" s="11">
        <f>IF(Components!AC8&gt;0,PPMT(EarningsRate,1,Components!$K8,0,-Components!AC8*((1+InflationRate)^Components!$K8),0),AA8)</f>
        <v>1812.1571279740547</v>
      </c>
      <c r="AC8" s="11">
        <f>IF(Components!AD8&gt;0,PPMT(EarningsRate,1,Components!$K8,0,-Components!AD8*((1+InflationRate)^Components!$K8),0),AB8)</f>
        <v>4282.5712433884501</v>
      </c>
      <c r="AD8" s="11">
        <f>IF(Components!AE8&gt;0,PPMT(EarningsRate,1,Components!$K8,0,-Components!AE8*((1+InflationRate)^Components!$K8),0),AC8)</f>
        <v>4282.5712433884501</v>
      </c>
      <c r="AE8" s="11">
        <f>IF(Components!AF8&gt;0,PPMT(EarningsRate,1,Components!$K8,0,-Components!AF8*((1+InflationRate)^Components!$K8),0),AD8)</f>
        <v>4282.5712433884501</v>
      </c>
      <c r="AF8" s="11">
        <f>IF(Components!AG8&gt;0,PPMT(EarningsRate,1,Components!$K8,0,-Components!AG8*((1+InflationRate)^Components!$K8),0),AE8)</f>
        <v>4282.5712433884501</v>
      </c>
      <c r="AG8" s="11">
        <f>IF(Components!AH8&gt;0,PPMT(EarningsRate,1,Components!$K8,0,-Components!AH8*((1+InflationRate)^Components!$K8),0),AF8)</f>
        <v>4282.5712433884501</v>
      </c>
      <c r="AH8" s="11">
        <f>IF(Components!AI8&gt;0,PPMT(EarningsRate,1,Components!$K8,0,-Components!AI8*((1+InflationRate)^Components!$K8),0),AG8)</f>
        <v>4282.5712433884501</v>
      </c>
      <c r="AI8" s="11">
        <f>IF(Components!AJ8&gt;0,PPMT(EarningsRate,1,Components!$K8,0,-Components!AJ8*((1+InflationRate)^Components!$K8),0),AH8)</f>
        <v>4282.5712433884501</v>
      </c>
      <c r="AJ8" s="11">
        <f>IF(Components!AK8&gt;0,PPMT(EarningsRate,1,Components!$K8,0,-Components!AK8*((1+InflationRate)^Components!$K8),0),AI8)</f>
        <v>4282.5712433884501</v>
      </c>
      <c r="AK8" s="11">
        <f>IF(Components!AL8&gt;0,PPMT(EarningsRate,1,Components!$K8,0,-Components!AL8*((1+InflationRate)^Components!$K8),0),AJ8)</f>
        <v>4282.5712433884501</v>
      </c>
      <c r="AL8" s="11">
        <f>IF(Components!AM8&gt;0,PPMT(EarningsRate,1,Components!$K8,0,-Components!AM8*((1+InflationRate)^Components!$K8),0),AK8)</f>
        <v>4282.5712433884501</v>
      </c>
      <c r="AM8" s="11">
        <f>IF(Components!AN8&gt;0,PPMT(EarningsRate,1,Components!$K8,0,-Components!AN8*((1+InflationRate)^Components!$K8),0),AL8)</f>
        <v>4282.5712433884501</v>
      </c>
      <c r="AN8" s="11">
        <f>IF(Components!AO8&gt;0,PPMT(EarningsRate,1,Components!$K8,0,-Components!AO8*((1+InflationRate)^Components!$K8),0),AM8)</f>
        <v>4282.5712433884501</v>
      </c>
      <c r="AO8" s="11">
        <f>IF(Components!AP8&gt;0,PPMT(EarningsRate,1,Components!$K8,0,-Components!AP8*((1+InflationRate)^Components!$K8),0),AN8)</f>
        <v>4282.5712433884501</v>
      </c>
      <c r="AP8" s="214"/>
      <c r="AQ8" s="11">
        <f t="shared" si="1"/>
        <v>88292.254567582801</v>
      </c>
    </row>
    <row r="9" spans="1:43" s="1" customFormat="1">
      <c r="A9" s="220" t="str">
        <f>Components!B9</f>
        <v>Club Exterior</v>
      </c>
      <c r="B9" s="220" t="str">
        <f>Components!C9</f>
        <v>Window replacement, Offices</v>
      </c>
      <c r="C9" s="211"/>
      <c r="D9" s="211"/>
      <c r="E9" s="211"/>
      <c r="F9" s="88"/>
      <c r="G9" s="212"/>
      <c r="H9" s="212"/>
      <c r="I9" s="212"/>
      <c r="J9" s="211"/>
      <c r="K9" s="11">
        <f>IF('FF Balance'!H9&gt;=0,PPMT(EarningsRate,1,Components!K9,0,-'FF Balance'!G9,0),0)</f>
        <v>1040.1463197340493</v>
      </c>
      <c r="L9" s="11">
        <f>IF(Components!M9&gt;0,PPMT(EarningsRate,1,Components!$K9,0,-Components!M9*((1+InflationRate)^Components!$K9),0),K9)</f>
        <v>1040.1463197340493</v>
      </c>
      <c r="M9" s="11">
        <f>IF(Components!N9&gt;0,PPMT(EarningsRate,1,Components!$K9,0,-Components!N9*((1+InflationRate)^Components!$K9),0),L9)</f>
        <v>1040.1463197340493</v>
      </c>
      <c r="N9" s="11">
        <f>IF(Components!O9&gt;0,PPMT(EarningsRate,1,Components!$K9,0,-Components!O9*((1+InflationRate)^Components!$K9),0),M9)</f>
        <v>1040.1463197340493</v>
      </c>
      <c r="O9" s="11">
        <f>IF(Components!P9&gt;0,PPMT(EarningsRate,1,Components!$K9,0,-Components!P9*((1+InflationRate)^Components!$K9),0),N9)</f>
        <v>1040.1463197340493</v>
      </c>
      <c r="P9" s="11">
        <f>IF(Components!Q9&gt;0,PPMT(EarningsRate,1,Components!$K9,0,-Components!Q9*((1+InflationRate)^Components!$K9),0),O9)</f>
        <v>1040.1463197340493</v>
      </c>
      <c r="Q9" s="11">
        <f>IF(Components!R9&gt;0,PPMT(EarningsRate,1,Components!$K9,0,-Components!R9*((1+InflationRate)^Components!$K9),0),P9)</f>
        <v>1040.1463197340493</v>
      </c>
      <c r="R9" s="11">
        <f>IF(Components!S9&gt;0,PPMT(EarningsRate,1,Components!$K9,0,-Components!S9*((1+InflationRate)^Components!$K9),0),Q9)</f>
        <v>1040.1463197340493</v>
      </c>
      <c r="S9" s="11">
        <f>IF(Components!T9&gt;0,PPMT(EarningsRate,1,Components!$K9,0,-Components!T9*((1+InflationRate)^Components!$K9),0),R9)</f>
        <v>1040.1463197340493</v>
      </c>
      <c r="T9" s="11">
        <f>IF(Components!U9&gt;0,PPMT(EarningsRate,1,Components!$K9,0,-Components!U9*((1+InflationRate)^Components!$K9),0),S9)</f>
        <v>1040.1463197340493</v>
      </c>
      <c r="U9" s="11">
        <f>IF(Components!V9&gt;0,PPMT(EarningsRate,1,Components!$K9,0,-Components!V9*((1+InflationRate)^Components!$K9),0),T9)</f>
        <v>1040.1463197340493</v>
      </c>
      <c r="V9" s="11">
        <f>IF(Components!W9&gt;0,PPMT(EarningsRate,1,Components!$K9,0,-Components!W9*((1+InflationRate)^Components!$K9),0),U9)</f>
        <v>1040.1463197340493</v>
      </c>
      <c r="W9" s="11">
        <f>IF(Components!X9&gt;0,PPMT(EarningsRate,1,Components!$K9,0,-Components!X9*((1+InflationRate)^Components!$K9),0),V9)</f>
        <v>1040.1463197340493</v>
      </c>
      <c r="X9" s="11">
        <f>IF(Components!Y9&gt;0,PPMT(EarningsRate,1,Components!$K9,0,-Components!Y9*((1+InflationRate)^Components!$K9),0),W9)</f>
        <v>1040.1463197340493</v>
      </c>
      <c r="Y9" s="11">
        <f>IF(Components!Z9&gt;0,PPMT(EarningsRate,1,Components!$K9,0,-Components!Z9*((1+InflationRate)^Components!$K9),0),X9)</f>
        <v>1040.1463197340493</v>
      </c>
      <c r="Z9" s="11">
        <f>IF(Components!AA9&gt;0,PPMT(EarningsRate,1,Components!$K9,0,-Components!AA9*((1+InflationRate)^Components!$K9),0),Y9)</f>
        <v>1040.1463197340493</v>
      </c>
      <c r="AA9" s="11">
        <f>IF(Components!AB9&gt;0,PPMT(EarningsRate,1,Components!$K9,0,-Components!AB9*((1+InflationRate)^Components!$K9),0),Z9)</f>
        <v>1040.1463197340493</v>
      </c>
      <c r="AB9" s="11">
        <f>IF(Components!AC9&gt;0,PPMT(EarningsRate,1,Components!$K9,0,-Components!AC9*((1+InflationRate)^Components!$K9),0),AA9)</f>
        <v>1040.1463197340493</v>
      </c>
      <c r="AC9" s="11">
        <f>IF(Components!AD9&gt;0,PPMT(EarningsRate,1,Components!$K9,0,-Components!AD9*((1+InflationRate)^Components!$K9),0),AB9)</f>
        <v>2458.1205730153124</v>
      </c>
      <c r="AD9" s="11">
        <f>IF(Components!AE9&gt;0,PPMT(EarningsRate,1,Components!$K9,0,-Components!AE9*((1+InflationRate)^Components!$K9),0),AC9)</f>
        <v>2458.1205730153124</v>
      </c>
      <c r="AE9" s="11">
        <f>IF(Components!AF9&gt;0,PPMT(EarningsRate,1,Components!$K9,0,-Components!AF9*((1+InflationRate)^Components!$K9),0),AD9)</f>
        <v>2458.1205730153124</v>
      </c>
      <c r="AF9" s="11">
        <f>IF(Components!AG9&gt;0,PPMT(EarningsRate,1,Components!$K9,0,-Components!AG9*((1+InflationRate)^Components!$K9),0),AE9)</f>
        <v>2458.1205730153124</v>
      </c>
      <c r="AG9" s="11">
        <f>IF(Components!AH9&gt;0,PPMT(EarningsRate,1,Components!$K9,0,-Components!AH9*((1+InflationRate)^Components!$K9),0),AF9)</f>
        <v>2458.1205730153124</v>
      </c>
      <c r="AH9" s="11">
        <f>IF(Components!AI9&gt;0,PPMT(EarningsRate,1,Components!$K9,0,-Components!AI9*((1+InflationRate)^Components!$K9),0),AG9)</f>
        <v>2458.1205730153124</v>
      </c>
      <c r="AI9" s="11">
        <f>IF(Components!AJ9&gt;0,PPMT(EarningsRate,1,Components!$K9,0,-Components!AJ9*((1+InflationRate)^Components!$K9),0),AH9)</f>
        <v>2458.1205730153124</v>
      </c>
      <c r="AJ9" s="11">
        <f>IF(Components!AK9&gt;0,PPMT(EarningsRate,1,Components!$K9,0,-Components!AK9*((1+InflationRate)^Components!$K9),0),AI9)</f>
        <v>2458.1205730153124</v>
      </c>
      <c r="AK9" s="11">
        <f>IF(Components!AL9&gt;0,PPMT(EarningsRate,1,Components!$K9,0,-Components!AL9*((1+InflationRate)^Components!$K9),0),AJ9)</f>
        <v>2458.1205730153124</v>
      </c>
      <c r="AL9" s="11">
        <f>IF(Components!AM9&gt;0,PPMT(EarningsRate,1,Components!$K9,0,-Components!AM9*((1+InflationRate)^Components!$K9),0),AK9)</f>
        <v>2458.1205730153124</v>
      </c>
      <c r="AM9" s="11">
        <f>IF(Components!AN9&gt;0,PPMT(EarningsRate,1,Components!$K9,0,-Components!AN9*((1+InflationRate)^Components!$K9),0),AL9)</f>
        <v>2458.1205730153124</v>
      </c>
      <c r="AN9" s="11">
        <f>IF(Components!AO9&gt;0,PPMT(EarningsRate,1,Components!$K9,0,-Components!AO9*((1+InflationRate)^Components!$K9),0),AM9)</f>
        <v>2458.1205730153124</v>
      </c>
      <c r="AO9" s="11">
        <f>IF(Components!AP9&gt;0,PPMT(EarningsRate,1,Components!$K9,0,-Components!AP9*((1+InflationRate)^Components!$K9),0),AN9)</f>
        <v>2458.1205730153124</v>
      </c>
      <c r="AP9" s="214"/>
      <c r="AQ9" s="11">
        <f t="shared" si="1"/>
        <v>50678.201304411974</v>
      </c>
    </row>
    <row r="10" spans="1:43" s="1" customFormat="1">
      <c r="A10" s="220" t="str">
        <f>Components!B10</f>
        <v>Club Flooring</v>
      </c>
      <c r="B10" s="220" t="str">
        <f>Components!C10</f>
        <v>Auditorium floor</v>
      </c>
      <c r="C10" s="211"/>
      <c r="D10" s="211"/>
      <c r="E10" s="211"/>
      <c r="F10" s="88"/>
      <c r="G10" s="212"/>
      <c r="H10" s="212"/>
      <c r="I10" s="212"/>
      <c r="J10" s="211"/>
      <c r="K10" s="11">
        <f>IF('FF Balance'!H10&gt;=0,PPMT(EarningsRate,1,Components!K10,0,-'FF Balance'!G10,0),0)</f>
        <v>2555.3834551635105</v>
      </c>
      <c r="L10" s="11">
        <f>IF(Components!M10&gt;0,PPMT(EarningsRate,1,Components!$K10,0,-Components!M10*((1+InflationRate)^Components!$K10),0),K10)</f>
        <v>2555.3834551635105</v>
      </c>
      <c r="M10" s="11">
        <f>IF(Components!N10&gt;0,PPMT(EarningsRate,1,Components!$K10,0,-Components!N10*((1+InflationRate)^Components!$K10),0),L10)</f>
        <v>2555.3834551635105</v>
      </c>
      <c r="N10" s="11">
        <f>IF(Components!O10&gt;0,PPMT(EarningsRate,1,Components!$K10,0,-Components!O10*((1+InflationRate)^Components!$K10),0),M10)</f>
        <v>3604.6207347653653</v>
      </c>
      <c r="O10" s="11">
        <f>IF(Components!P10&gt;0,PPMT(EarningsRate,1,Components!$K10,0,-Components!P10*((1+InflationRate)^Components!$K10),0),N10)</f>
        <v>3604.6207347653653</v>
      </c>
      <c r="P10" s="11">
        <f>IF(Components!Q10&gt;0,PPMT(EarningsRate,1,Components!$K10,0,-Components!Q10*((1+InflationRate)^Components!$K10),0),O10)</f>
        <v>3604.6207347653653</v>
      </c>
      <c r="Q10" s="11">
        <f>IF(Components!R10&gt;0,PPMT(EarningsRate,1,Components!$K10,0,-Components!R10*((1+InflationRate)^Components!$K10),0),P10)</f>
        <v>3604.6207347653653</v>
      </c>
      <c r="R10" s="11">
        <f>IF(Components!S10&gt;0,PPMT(EarningsRate,1,Components!$K10,0,-Components!S10*((1+InflationRate)^Components!$K10),0),Q10)</f>
        <v>3604.6207347653653</v>
      </c>
      <c r="S10" s="11">
        <f>IF(Components!T10&gt;0,PPMT(EarningsRate,1,Components!$K10,0,-Components!T10*((1+InflationRate)^Components!$K10),0),R10)</f>
        <v>3604.6207347653653</v>
      </c>
      <c r="T10" s="11">
        <f>IF(Components!U10&gt;0,PPMT(EarningsRate,1,Components!$K10,0,-Components!U10*((1+InflationRate)^Components!$K10),0),S10)</f>
        <v>3604.6207347653653</v>
      </c>
      <c r="U10" s="11">
        <f>IF(Components!V10&gt;0,PPMT(EarningsRate,1,Components!$K10,0,-Components!V10*((1+InflationRate)^Components!$K10),0),T10)</f>
        <v>3604.6207347653653</v>
      </c>
      <c r="V10" s="11">
        <f>IF(Components!W10&gt;0,PPMT(EarningsRate,1,Components!$K10,0,-Components!W10*((1+InflationRate)^Components!$K10),0),U10)</f>
        <v>3604.6207347653653</v>
      </c>
      <c r="W10" s="11">
        <f>IF(Components!X10&gt;0,PPMT(EarningsRate,1,Components!$K10,0,-Components!X10*((1+InflationRate)^Components!$K10),0),V10)</f>
        <v>3604.6207347653653</v>
      </c>
      <c r="X10" s="11">
        <f>IF(Components!Y10&gt;0,PPMT(EarningsRate,1,Components!$K10,0,-Components!Y10*((1+InflationRate)^Components!$K10),0),W10)</f>
        <v>5084.7350227393908</v>
      </c>
      <c r="Y10" s="11">
        <f>IF(Components!Z10&gt;0,PPMT(EarningsRate,1,Components!$K10,0,-Components!Z10*((1+InflationRate)^Components!$K10),0),X10)</f>
        <v>5084.7350227393908</v>
      </c>
      <c r="Z10" s="11">
        <f>IF(Components!AA10&gt;0,PPMT(EarningsRate,1,Components!$K10,0,-Components!AA10*((1+InflationRate)^Components!$K10),0),Y10)</f>
        <v>5084.7350227393908</v>
      </c>
      <c r="AA10" s="11">
        <f>IF(Components!AB10&gt;0,PPMT(EarningsRate,1,Components!$K10,0,-Components!AB10*((1+InflationRate)^Components!$K10),0),Z10)</f>
        <v>5084.7350227393908</v>
      </c>
      <c r="AB10" s="11">
        <f>IF(Components!AC10&gt;0,PPMT(EarningsRate,1,Components!$K10,0,-Components!AC10*((1+InflationRate)^Components!$K10),0),AA10)</f>
        <v>5084.7350227393908</v>
      </c>
      <c r="AC10" s="11">
        <f>IF(Components!AD10&gt;0,PPMT(EarningsRate,1,Components!$K10,0,-Components!AD10*((1+InflationRate)^Components!$K10),0),AB10)</f>
        <v>5084.7350227393908</v>
      </c>
      <c r="AD10" s="11">
        <f>IF(Components!AE10&gt;0,PPMT(EarningsRate,1,Components!$K10,0,-Components!AE10*((1+InflationRate)^Components!$K10),0),AC10)</f>
        <v>5084.7350227393908</v>
      </c>
      <c r="AE10" s="11">
        <f>IF(Components!AF10&gt;0,PPMT(EarningsRate,1,Components!$K10,0,-Components!AF10*((1+InflationRate)^Components!$K10),0),AD10)</f>
        <v>5084.7350227393908</v>
      </c>
      <c r="AF10" s="11">
        <f>IF(Components!AG10&gt;0,PPMT(EarningsRate,1,Components!$K10,0,-Components!AG10*((1+InflationRate)^Components!$K10),0),AE10)</f>
        <v>5084.7350227393908</v>
      </c>
      <c r="AG10" s="11">
        <f>IF(Components!AH10&gt;0,PPMT(EarningsRate,1,Components!$K10,0,-Components!AH10*((1+InflationRate)^Components!$K10),0),AF10)</f>
        <v>5084.7350227393908</v>
      </c>
      <c r="AH10" s="11">
        <f>IF(Components!AI10&gt;0,PPMT(EarningsRate,1,Components!$K10,0,-Components!AI10*((1+InflationRate)^Components!$K10),0),AG10)</f>
        <v>7172.5656173074976</v>
      </c>
      <c r="AI10" s="11">
        <f>IF(Components!AJ10&gt;0,PPMT(EarningsRate,1,Components!$K10,0,-Components!AJ10*((1+InflationRate)^Components!$K10),0),AH10)</f>
        <v>7172.5656173074976</v>
      </c>
      <c r="AJ10" s="11">
        <f>IF(Components!AK10&gt;0,PPMT(EarningsRate,1,Components!$K10,0,-Components!AK10*((1+InflationRate)^Components!$K10),0),AI10)</f>
        <v>7172.5656173074976</v>
      </c>
      <c r="AK10" s="11">
        <f>IF(Components!AL10&gt;0,PPMT(EarningsRate,1,Components!$K10,0,-Components!AL10*((1+InflationRate)^Components!$K10),0),AJ10)</f>
        <v>7172.5656173074976</v>
      </c>
      <c r="AL10" s="11">
        <f>IF(Components!AM10&gt;0,PPMT(EarningsRate,1,Components!$K10,0,-Components!AM10*((1+InflationRate)^Components!$K10),0),AK10)</f>
        <v>7172.5656173074976</v>
      </c>
      <c r="AM10" s="11">
        <f>IF(Components!AN10&gt;0,PPMT(EarningsRate,1,Components!$K10,0,-Components!AN10*((1+InflationRate)^Components!$K10),0),AL10)</f>
        <v>7172.5656173074976</v>
      </c>
      <c r="AN10" s="11">
        <f>IF(Components!AO10&gt;0,PPMT(EarningsRate,1,Components!$K10,0,-Components!AO10*((1+InflationRate)^Components!$K10),0),AM10)</f>
        <v>7172.5656173074976</v>
      </c>
      <c r="AO10" s="11">
        <f>IF(Components!AP10&gt;0,PPMT(EarningsRate,1,Components!$K10,0,-Components!AP10*((1+InflationRate)^Components!$K10),0),AN10)</f>
        <v>7172.5656173074976</v>
      </c>
      <c r="AP10" s="214"/>
      <c r="AQ10" s="11">
        <f t="shared" si="1"/>
        <v>151940.2329789981</v>
      </c>
    </row>
    <row r="11" spans="1:43" s="1" customFormat="1">
      <c r="A11" s="220" t="str">
        <f>Components!B11</f>
        <v>Club Flooring</v>
      </c>
      <c r="B11" s="220" t="str">
        <f>Components!C11</f>
        <v>Auditorium stage floor</v>
      </c>
      <c r="C11" s="211"/>
      <c r="D11" s="211"/>
      <c r="E11" s="211"/>
      <c r="F11" s="88"/>
      <c r="G11" s="212"/>
      <c r="H11" s="212"/>
      <c r="I11" s="212"/>
      <c r="J11" s="211"/>
      <c r="K11" s="11">
        <f>IF('FF Balance'!H11&gt;=0,PPMT(EarningsRate,1,Components!K11,0,-'FF Balance'!G11,0),0)</f>
        <v>1565.0121377722378</v>
      </c>
      <c r="L11" s="11">
        <f>IF(Components!M11&gt;0,PPMT(EarningsRate,1,Components!$K11,0,-Components!M11*((1+InflationRate)^Components!$K11),0),K11)</f>
        <v>1565.0121377722378</v>
      </c>
      <c r="M11" s="11">
        <f>IF(Components!N11&gt;0,PPMT(EarningsRate,1,Components!$K11,0,-Components!N11*((1+InflationRate)^Components!$K11),0),L11)</f>
        <v>1565.0121377722378</v>
      </c>
      <c r="N11" s="11">
        <f>IF(Components!O11&gt;0,PPMT(EarningsRate,1,Components!$K11,0,-Components!O11*((1+InflationRate)^Components!$K11),0),M11)</f>
        <v>1565.0121377722378</v>
      </c>
      <c r="O11" s="11">
        <f>IF(Components!P11&gt;0,PPMT(EarningsRate,1,Components!$K11,0,-Components!P11*((1+InflationRate)^Components!$K11),0),N11)</f>
        <v>1565.0121377722378</v>
      </c>
      <c r="P11" s="11">
        <f>IF(Components!Q11&gt;0,PPMT(EarningsRate,1,Components!$K11,0,-Components!Q11*((1+InflationRate)^Components!$K11),0),O11)</f>
        <v>1565.0121377722378</v>
      </c>
      <c r="Q11" s="11">
        <f>IF(Components!R11&gt;0,PPMT(EarningsRate,1,Components!$K11,0,-Components!R11*((1+InflationRate)^Components!$K11),0),P11)</f>
        <v>1565.0121377722378</v>
      </c>
      <c r="R11" s="11">
        <f>IF(Components!S11&gt;0,PPMT(EarningsRate,1,Components!$K11,0,-Components!S11*((1+InflationRate)^Components!$K11),0),Q11)</f>
        <v>1565.0121377722378</v>
      </c>
      <c r="S11" s="11">
        <f>IF(Components!T11&gt;0,PPMT(EarningsRate,1,Components!$K11,0,-Components!T11*((1+InflationRate)^Components!$K11),0),R11)</f>
        <v>1565.0121377722378</v>
      </c>
      <c r="T11" s="11">
        <f>IF(Components!U11&gt;0,PPMT(EarningsRate,1,Components!$K11,0,-Components!U11*((1+InflationRate)^Components!$K11),0),S11)</f>
        <v>1565.0121377722378</v>
      </c>
      <c r="U11" s="11">
        <f>IF(Components!V11&gt;0,PPMT(EarningsRate,1,Components!$K11,0,-Components!V11*((1+InflationRate)^Components!$K11),0),T11)</f>
        <v>2207.6041818985295</v>
      </c>
      <c r="V11" s="11">
        <f>IF(Components!W11&gt;0,PPMT(EarningsRate,1,Components!$K11,0,-Components!W11*((1+InflationRate)^Components!$K11),0),U11)</f>
        <v>2207.6041818985295</v>
      </c>
      <c r="W11" s="11">
        <f>IF(Components!X11&gt;0,PPMT(EarningsRate,1,Components!$K11,0,-Components!X11*((1+InflationRate)^Components!$K11),0),V11)</f>
        <v>2207.6041818985295</v>
      </c>
      <c r="X11" s="11">
        <f>IF(Components!Y11&gt;0,PPMT(EarningsRate,1,Components!$K11,0,-Components!Y11*((1+InflationRate)^Components!$K11),0),W11)</f>
        <v>2207.6041818985295</v>
      </c>
      <c r="Y11" s="11">
        <f>IF(Components!Z11&gt;0,PPMT(EarningsRate,1,Components!$K11,0,-Components!Z11*((1+InflationRate)^Components!$K11),0),X11)</f>
        <v>2207.6041818985295</v>
      </c>
      <c r="Z11" s="11">
        <f>IF(Components!AA11&gt;0,PPMT(EarningsRate,1,Components!$K11,0,-Components!AA11*((1+InflationRate)^Components!$K11),0),Y11)</f>
        <v>2207.6041818985295</v>
      </c>
      <c r="AA11" s="11">
        <f>IF(Components!AB11&gt;0,PPMT(EarningsRate,1,Components!$K11,0,-Components!AB11*((1+InflationRate)^Components!$K11),0),Z11)</f>
        <v>2207.6041818985295</v>
      </c>
      <c r="AB11" s="11">
        <f>IF(Components!AC11&gt;0,PPMT(EarningsRate,1,Components!$K11,0,-Components!AC11*((1+InflationRate)^Components!$K11),0),AA11)</f>
        <v>2207.6041818985295</v>
      </c>
      <c r="AC11" s="11">
        <f>IF(Components!AD11&gt;0,PPMT(EarningsRate,1,Components!$K11,0,-Components!AD11*((1+InflationRate)^Components!$K11),0),AB11)</f>
        <v>2207.6041818985295</v>
      </c>
      <c r="AD11" s="11">
        <f>IF(Components!AE11&gt;0,PPMT(EarningsRate,1,Components!$K11,0,-Components!AE11*((1+InflationRate)^Components!$K11),0),AC11)</f>
        <v>2207.6041818985295</v>
      </c>
      <c r="AE11" s="11">
        <f>IF(Components!AF11&gt;0,PPMT(EarningsRate,1,Components!$K11,0,-Components!AF11*((1+InflationRate)^Components!$K11),0),AD11)</f>
        <v>3113.9850333454542</v>
      </c>
      <c r="AF11" s="11">
        <f>IF(Components!AG11&gt;0,PPMT(EarningsRate,1,Components!$K11,0,-Components!AG11*((1+InflationRate)^Components!$K11),0),AE11)</f>
        <v>3113.9850333454542</v>
      </c>
      <c r="AG11" s="11">
        <f>IF(Components!AH11&gt;0,PPMT(EarningsRate,1,Components!$K11,0,-Components!AH11*((1+InflationRate)^Components!$K11),0),AF11)</f>
        <v>3113.9850333454542</v>
      </c>
      <c r="AH11" s="11">
        <f>IF(Components!AI11&gt;0,PPMT(EarningsRate,1,Components!$K11,0,-Components!AI11*((1+InflationRate)^Components!$K11),0),AG11)</f>
        <v>3113.9850333454542</v>
      </c>
      <c r="AI11" s="11">
        <f>IF(Components!AJ11&gt;0,PPMT(EarningsRate,1,Components!$K11,0,-Components!AJ11*((1+InflationRate)^Components!$K11),0),AH11)</f>
        <v>3113.9850333454542</v>
      </c>
      <c r="AJ11" s="11">
        <f>IF(Components!AK11&gt;0,PPMT(EarningsRate,1,Components!$K11,0,-Components!AK11*((1+InflationRate)^Components!$K11),0),AI11)</f>
        <v>3113.9850333454542</v>
      </c>
      <c r="AK11" s="11">
        <f>IF(Components!AL11&gt;0,PPMT(EarningsRate,1,Components!$K11,0,-Components!AL11*((1+InflationRate)^Components!$K11),0),AJ11)</f>
        <v>3113.9850333454542</v>
      </c>
      <c r="AL11" s="11">
        <f>IF(Components!AM11&gt;0,PPMT(EarningsRate,1,Components!$K11,0,-Components!AM11*((1+InflationRate)^Components!$K11),0),AK11)</f>
        <v>3113.9850333454542</v>
      </c>
      <c r="AM11" s="11">
        <f>IF(Components!AN11&gt;0,PPMT(EarningsRate,1,Components!$K11,0,-Components!AN11*((1+InflationRate)^Components!$K11),0),AL11)</f>
        <v>3113.9850333454542</v>
      </c>
      <c r="AN11" s="11">
        <f>IF(Components!AO11&gt;0,PPMT(EarningsRate,1,Components!$K11,0,-Components!AO11*((1+InflationRate)^Components!$K11),0),AM11)</f>
        <v>3113.9850333454542</v>
      </c>
      <c r="AO11" s="11">
        <f>IF(Components!AP11&gt;0,PPMT(EarningsRate,1,Components!$K11,0,-Components!AP11*((1+InflationRate)^Components!$K11),0),AN11)</f>
        <v>4392.6386085827617</v>
      </c>
      <c r="AP11" s="214"/>
      <c r="AQ11" s="11">
        <f t="shared" si="1"/>
        <v>73258.652238744951</v>
      </c>
    </row>
    <row r="12" spans="1:43" s="1" customFormat="1">
      <c r="A12" s="220" t="str">
        <f>Components!B12</f>
        <v>Club Flooring</v>
      </c>
      <c r="B12" s="220" t="str">
        <f>Components!C12</f>
        <v>Club Lobby and Hallways</v>
      </c>
      <c r="C12" s="211"/>
      <c r="D12" s="211"/>
      <c r="E12" s="211"/>
      <c r="F12" s="88"/>
      <c r="G12" s="212"/>
      <c r="H12" s="212"/>
      <c r="I12" s="212"/>
      <c r="J12" s="211"/>
      <c r="K12" s="11">
        <f>IF('FF Balance'!H12&gt;=0,PPMT(EarningsRate,1,Components!K12,0,-'FF Balance'!G12,0),0)</f>
        <v>4219.4234436877323</v>
      </c>
      <c r="L12" s="11">
        <f>IF(Components!M12&gt;0,PPMT(EarningsRate,1,Components!$K12,0,-Components!M12*((1+InflationRate)^Components!$K12),0),K12)</f>
        <v>4219.4234436877323</v>
      </c>
      <c r="M12" s="11">
        <f>IF(Components!N12&gt;0,PPMT(EarningsRate,1,Components!$K12,0,-Components!N12*((1+InflationRate)^Components!$K12),0),L12)</f>
        <v>4219.4234436877323</v>
      </c>
      <c r="N12" s="11">
        <f>IF(Components!O12&gt;0,PPMT(EarningsRate,1,Components!$K12,0,-Components!O12*((1+InflationRate)^Components!$K12),0),M12)</f>
        <v>4219.4234436877323</v>
      </c>
      <c r="O12" s="11">
        <f>IF(Components!P12&gt;0,PPMT(EarningsRate,1,Components!$K12,0,-Components!P12*((1+InflationRate)^Components!$K12),0),N12)</f>
        <v>5011.3514417932947</v>
      </c>
      <c r="P12" s="11">
        <f>IF(Components!Q12&gt;0,PPMT(EarningsRate,1,Components!$K12,0,-Components!Q12*((1+InflationRate)^Components!$K12),0),O12)</f>
        <v>5011.3514417932947</v>
      </c>
      <c r="Q12" s="11">
        <f>IF(Components!R12&gt;0,PPMT(EarningsRate,1,Components!$K12,0,-Components!R12*((1+InflationRate)^Components!$K12),0),P12)</f>
        <v>5011.3514417932947</v>
      </c>
      <c r="R12" s="11">
        <f>IF(Components!S12&gt;0,PPMT(EarningsRate,1,Components!$K12,0,-Components!S12*((1+InflationRate)^Components!$K12),0),Q12)</f>
        <v>5011.3514417932947</v>
      </c>
      <c r="S12" s="11">
        <f>IF(Components!T12&gt;0,PPMT(EarningsRate,1,Components!$K12,0,-Components!T12*((1+InflationRate)^Components!$K12),0),R12)</f>
        <v>5011.3514417932947</v>
      </c>
      <c r="T12" s="11">
        <f>IF(Components!U12&gt;0,PPMT(EarningsRate,1,Components!$K12,0,-Components!U12*((1+InflationRate)^Components!$K12),0),S12)</f>
        <v>5951.805496114016</v>
      </c>
      <c r="U12" s="11">
        <f>IF(Components!V12&gt;0,PPMT(EarningsRate,1,Components!$K12,0,-Components!V12*((1+InflationRate)^Components!$K12),0),T12)</f>
        <v>5951.805496114016</v>
      </c>
      <c r="V12" s="11">
        <f>IF(Components!W12&gt;0,PPMT(EarningsRate,1,Components!$K12,0,-Components!W12*((1+InflationRate)^Components!$K12),0),U12)</f>
        <v>5951.805496114016</v>
      </c>
      <c r="W12" s="11">
        <f>IF(Components!X12&gt;0,PPMT(EarningsRate,1,Components!$K12,0,-Components!X12*((1+InflationRate)^Components!$K12),0),V12)</f>
        <v>5951.805496114016</v>
      </c>
      <c r="X12" s="11">
        <f>IF(Components!Y12&gt;0,PPMT(EarningsRate,1,Components!$K12,0,-Components!Y12*((1+InflationRate)^Components!$K12),0),W12)</f>
        <v>5951.805496114016</v>
      </c>
      <c r="Y12" s="11">
        <f>IF(Components!Z12&gt;0,PPMT(EarningsRate,1,Components!$K12,0,-Components!Z12*((1+InflationRate)^Components!$K12),0),X12)</f>
        <v>7069.0075151121137</v>
      </c>
      <c r="Z12" s="11">
        <f>IF(Components!AA12&gt;0,PPMT(EarningsRate,1,Components!$K12,0,-Components!AA12*((1+InflationRate)^Components!$K12),0),Y12)</f>
        <v>7069.0075151121137</v>
      </c>
      <c r="AA12" s="11">
        <f>IF(Components!AB12&gt;0,PPMT(EarningsRate,1,Components!$K12,0,-Components!AB12*((1+InflationRate)^Components!$K12),0),Z12)</f>
        <v>7069.0075151121137</v>
      </c>
      <c r="AB12" s="11">
        <f>IF(Components!AC12&gt;0,PPMT(EarningsRate,1,Components!$K12,0,-Components!AC12*((1+InflationRate)^Components!$K12),0),AA12)</f>
        <v>7069.0075151121137</v>
      </c>
      <c r="AC12" s="11">
        <f>IF(Components!AD12&gt;0,PPMT(EarningsRate,1,Components!$K12,0,-Components!AD12*((1+InflationRate)^Components!$K12),0),AB12)</f>
        <v>7069.0075151121137</v>
      </c>
      <c r="AD12" s="11">
        <f>IF(Components!AE12&gt;0,PPMT(EarningsRate,1,Components!$K12,0,-Components!AE12*((1+InflationRate)^Components!$K12),0),AC12)</f>
        <v>8395.7560901710149</v>
      </c>
      <c r="AE12" s="11">
        <f>IF(Components!AF12&gt;0,PPMT(EarningsRate,1,Components!$K12,0,-Components!AF12*((1+InflationRate)^Components!$K12),0),AD12)</f>
        <v>8395.7560901710149</v>
      </c>
      <c r="AF12" s="11">
        <f>IF(Components!AG12&gt;0,PPMT(EarningsRate,1,Components!$K12,0,-Components!AG12*((1+InflationRate)^Components!$K12),0),AE12)</f>
        <v>8395.7560901710149</v>
      </c>
      <c r="AG12" s="11">
        <f>IF(Components!AH12&gt;0,PPMT(EarningsRate,1,Components!$K12,0,-Components!AH12*((1+InflationRate)^Components!$K12),0),AF12)</f>
        <v>8395.7560901710149</v>
      </c>
      <c r="AH12" s="11">
        <f>IF(Components!AI12&gt;0,PPMT(EarningsRate,1,Components!$K12,0,-Components!AI12*((1+InflationRate)^Components!$K12),0),AG12)</f>
        <v>8395.7560901710149</v>
      </c>
      <c r="AI12" s="11">
        <f>IF(Components!AJ12&gt;0,PPMT(EarningsRate,1,Components!$K12,0,-Components!AJ12*((1+InflationRate)^Components!$K12),0),AH12)</f>
        <v>9971.4550845499798</v>
      </c>
      <c r="AJ12" s="11">
        <f>IF(Components!AK12&gt;0,PPMT(EarningsRate,1,Components!$K12,0,-Components!AK12*((1+InflationRate)^Components!$K12),0),AI12)</f>
        <v>9971.4550845499798</v>
      </c>
      <c r="AK12" s="11">
        <f>IF(Components!AL12&gt;0,PPMT(EarningsRate,1,Components!$K12,0,-Components!AL12*((1+InflationRate)^Components!$K12),0),AJ12)</f>
        <v>9971.4550845499798</v>
      </c>
      <c r="AL12" s="11">
        <f>IF(Components!AM12&gt;0,PPMT(EarningsRate,1,Components!$K12,0,-Components!AM12*((1+InflationRate)^Components!$K12),0),AK12)</f>
        <v>9971.4550845499798</v>
      </c>
      <c r="AM12" s="11">
        <f>IF(Components!AN12&gt;0,PPMT(EarningsRate,1,Components!$K12,0,-Components!AN12*((1+InflationRate)^Components!$K12),0),AL12)</f>
        <v>9971.4550845499798</v>
      </c>
      <c r="AN12" s="11">
        <f>IF(Components!AO12&gt;0,PPMT(EarningsRate,1,Components!$K12,0,-Components!AO12*((1+InflationRate)^Components!$K12),0),AM12)</f>
        <v>11843.024705366974</v>
      </c>
      <c r="AO12" s="11">
        <f>IF(Components!AP12&gt;0,PPMT(EarningsRate,1,Components!$K12,0,-Components!AP12*((1+InflationRate)^Components!$K12),0),AN12)</f>
        <v>11843.024705366974</v>
      </c>
      <c r="AP12" s="214"/>
      <c r="AQ12" s="11">
        <f t="shared" si="1"/>
        <v>222560.62142418703</v>
      </c>
    </row>
    <row r="13" spans="1:43" s="1" customFormat="1">
      <c r="A13" s="220" t="str">
        <f>Components!B13</f>
        <v>Club Flooring</v>
      </c>
      <c r="B13" s="220" t="str">
        <f>Components!C13</f>
        <v>Exercise Room Floor</v>
      </c>
      <c r="C13" s="211"/>
      <c r="D13" s="211"/>
      <c r="E13" s="211"/>
      <c r="F13" s="88"/>
      <c r="G13" s="212"/>
      <c r="H13" s="212"/>
      <c r="I13" s="212"/>
      <c r="J13" s="211"/>
      <c r="K13" s="11">
        <f>IF('FF Balance'!H13&gt;=0,PPMT(EarningsRate,1,Components!K13,0,-'FF Balance'!G13,0),0)</f>
        <v>1035.1898468087409</v>
      </c>
      <c r="L13" s="11">
        <f>IF(Components!M13&gt;0,PPMT(EarningsRate,1,Components!$K13,0,-Components!M13*((1+InflationRate)^Components!$K13),0),K13)</f>
        <v>1035.1898468087409</v>
      </c>
      <c r="M13" s="11">
        <f>IF(Components!N13&gt;0,PPMT(EarningsRate,1,Components!$K13,0,-Components!N13*((1+InflationRate)^Components!$K13),0),L13)</f>
        <v>1035.1898468087409</v>
      </c>
      <c r="N13" s="11">
        <f>IF(Components!O13&gt;0,PPMT(EarningsRate,1,Components!$K13,0,-Components!O13*((1+InflationRate)^Components!$K13),0),M13)</f>
        <v>1460.237514915978</v>
      </c>
      <c r="O13" s="11">
        <f>IF(Components!P13&gt;0,PPMT(EarningsRate,1,Components!$K13,0,-Components!P13*((1+InflationRate)^Components!$K13),0),N13)</f>
        <v>1460.237514915978</v>
      </c>
      <c r="P13" s="11">
        <f>IF(Components!Q13&gt;0,PPMT(EarningsRate,1,Components!$K13,0,-Components!Q13*((1+InflationRate)^Components!$K13),0),O13)</f>
        <v>1460.237514915978</v>
      </c>
      <c r="Q13" s="11">
        <f>IF(Components!R13&gt;0,PPMT(EarningsRate,1,Components!$K13,0,-Components!R13*((1+InflationRate)^Components!$K13),0),P13)</f>
        <v>1460.237514915978</v>
      </c>
      <c r="R13" s="11">
        <f>IF(Components!S13&gt;0,PPMT(EarningsRate,1,Components!$K13,0,-Components!S13*((1+InflationRate)^Components!$K13),0),Q13)</f>
        <v>1460.237514915978</v>
      </c>
      <c r="S13" s="11">
        <f>IF(Components!T13&gt;0,PPMT(EarningsRate,1,Components!$K13,0,-Components!T13*((1+InflationRate)^Components!$K13),0),R13)</f>
        <v>1460.237514915978</v>
      </c>
      <c r="T13" s="11">
        <f>IF(Components!U13&gt;0,PPMT(EarningsRate,1,Components!$K13,0,-Components!U13*((1+InflationRate)^Components!$K13),0),S13)</f>
        <v>1460.237514915978</v>
      </c>
      <c r="U13" s="11">
        <f>IF(Components!V13&gt;0,PPMT(EarningsRate,1,Components!$K13,0,-Components!V13*((1+InflationRate)^Components!$K13),0),T13)</f>
        <v>1460.237514915978</v>
      </c>
      <c r="V13" s="11">
        <f>IF(Components!W13&gt;0,PPMT(EarningsRate,1,Components!$K13,0,-Components!W13*((1+InflationRate)^Components!$K13),0),U13)</f>
        <v>1460.237514915978</v>
      </c>
      <c r="W13" s="11">
        <f>IF(Components!X13&gt;0,PPMT(EarningsRate,1,Components!$K13,0,-Components!X13*((1+InflationRate)^Components!$K13),0),V13)</f>
        <v>1460.237514915978</v>
      </c>
      <c r="X13" s="11">
        <f>IF(Components!Y13&gt;0,PPMT(EarningsRate,1,Components!$K13,0,-Components!Y13*((1+InflationRate)^Components!$K13),0),W13)</f>
        <v>2059.7466377957699</v>
      </c>
      <c r="Y13" s="11">
        <f>IF(Components!Z13&gt;0,PPMT(EarningsRate,1,Components!$K13,0,-Components!Z13*((1+InflationRate)^Components!$K13),0),X13)</f>
        <v>2059.7466377957699</v>
      </c>
      <c r="Z13" s="11">
        <f>IF(Components!AA13&gt;0,PPMT(EarningsRate,1,Components!$K13,0,-Components!AA13*((1+InflationRate)^Components!$K13),0),Y13)</f>
        <v>2059.7466377957699</v>
      </c>
      <c r="AA13" s="11">
        <f>IF(Components!AB13&gt;0,PPMT(EarningsRate,1,Components!$K13,0,-Components!AB13*((1+InflationRate)^Components!$K13),0),Z13)</f>
        <v>2059.7466377957699</v>
      </c>
      <c r="AB13" s="11">
        <f>IF(Components!AC13&gt;0,PPMT(EarningsRate,1,Components!$K13,0,-Components!AC13*((1+InflationRate)^Components!$K13),0),AA13)</f>
        <v>2059.7466377957699</v>
      </c>
      <c r="AC13" s="11">
        <f>IF(Components!AD13&gt;0,PPMT(EarningsRate,1,Components!$K13,0,-Components!AD13*((1+InflationRate)^Components!$K13),0),AB13)</f>
        <v>2059.7466377957699</v>
      </c>
      <c r="AD13" s="11">
        <f>IF(Components!AE13&gt;0,PPMT(EarningsRate,1,Components!$K13,0,-Components!AE13*((1+InflationRate)^Components!$K13),0),AC13)</f>
        <v>2059.7466377957699</v>
      </c>
      <c r="AE13" s="11">
        <f>IF(Components!AF13&gt;0,PPMT(EarningsRate,1,Components!$K13,0,-Components!AF13*((1+InflationRate)^Components!$K13),0),AD13)</f>
        <v>2059.7466377957699</v>
      </c>
      <c r="AF13" s="11">
        <f>IF(Components!AG13&gt;0,PPMT(EarningsRate,1,Components!$K13,0,-Components!AG13*((1+InflationRate)^Components!$K13),0),AE13)</f>
        <v>2059.7466377957699</v>
      </c>
      <c r="AG13" s="11">
        <f>IF(Components!AH13&gt;0,PPMT(EarningsRate,1,Components!$K13,0,-Components!AH13*((1+InflationRate)^Components!$K13),0),AF13)</f>
        <v>2059.7466377957699</v>
      </c>
      <c r="AH13" s="11">
        <f>IF(Components!AI13&gt;0,PPMT(EarningsRate,1,Components!$K13,0,-Components!AI13*((1+InflationRate)^Components!$K13),0),AG13)</f>
        <v>2905.4712721042692</v>
      </c>
      <c r="AI13" s="11">
        <f>IF(Components!AJ13&gt;0,PPMT(EarningsRate,1,Components!$K13,0,-Components!AJ13*((1+InflationRate)^Components!$K13),0),AH13)</f>
        <v>2905.4712721042692</v>
      </c>
      <c r="AJ13" s="11">
        <f>IF(Components!AK13&gt;0,PPMT(EarningsRate,1,Components!$K13,0,-Components!AK13*((1+InflationRate)^Components!$K13),0),AI13)</f>
        <v>2905.4712721042692</v>
      </c>
      <c r="AK13" s="11">
        <f>IF(Components!AL13&gt;0,PPMT(EarningsRate,1,Components!$K13,0,-Components!AL13*((1+InflationRate)^Components!$K13),0),AJ13)</f>
        <v>2905.4712721042692</v>
      </c>
      <c r="AL13" s="11">
        <f>IF(Components!AM13&gt;0,PPMT(EarningsRate,1,Components!$K13,0,-Components!AM13*((1+InflationRate)^Components!$K13),0),AK13)</f>
        <v>2905.4712721042692</v>
      </c>
      <c r="AM13" s="11">
        <f>IF(Components!AN13&gt;0,PPMT(EarningsRate,1,Components!$K13,0,-Components!AN13*((1+InflationRate)^Components!$K13),0),AL13)</f>
        <v>2905.4712721042692</v>
      </c>
      <c r="AN13" s="11">
        <f>IF(Components!AO13&gt;0,PPMT(EarningsRate,1,Components!$K13,0,-Components!AO13*((1+InflationRate)^Components!$K13),0),AM13)</f>
        <v>2905.4712721042692</v>
      </c>
      <c r="AO13" s="11">
        <f>IF(Components!AP13&gt;0,PPMT(EarningsRate,1,Components!$K13,0,-Components!AP13*((1+InflationRate)^Components!$K13),0),AN13)</f>
        <v>2905.4712721042692</v>
      </c>
      <c r="AP13" s="214"/>
      <c r="AQ13" s="11">
        <f t="shared" si="1"/>
        <v>61549.181344377816</v>
      </c>
    </row>
    <row r="14" spans="1:43" s="1" customFormat="1">
      <c r="A14" s="220" t="str">
        <f>Components!B14</f>
        <v>Club Flooring</v>
      </c>
      <c r="B14" s="220" t="str">
        <f>Components!C14</f>
        <v>Locker Room Floor Tile</v>
      </c>
      <c r="C14" s="211"/>
      <c r="D14" s="211"/>
      <c r="E14" s="211"/>
      <c r="F14" s="88"/>
      <c r="G14" s="212"/>
      <c r="H14" s="212"/>
      <c r="I14" s="212"/>
      <c r="J14" s="211"/>
      <c r="K14" s="11">
        <f>IF('FF Balance'!H14&gt;=0,PPMT(EarningsRate,1,Components!K14,0,-'FF Balance'!G14,0),0)</f>
        <v>1734.9544317610903</v>
      </c>
      <c r="L14" s="11">
        <f>IF(Components!M14&gt;0,PPMT(EarningsRate,1,Components!$K14,0,-Components!M14*((1+InflationRate)^Components!$K14),0),K14)</f>
        <v>1734.9544317610903</v>
      </c>
      <c r="M14" s="11">
        <f>IF(Components!N14&gt;0,PPMT(EarningsRate,1,Components!$K14,0,-Components!N14*((1+InflationRate)^Components!$K14),0),L14)</f>
        <v>1734.9544317610903</v>
      </c>
      <c r="N14" s="11">
        <f>IF(Components!O14&gt;0,PPMT(EarningsRate,1,Components!$K14,0,-Components!O14*((1+InflationRate)^Components!$K14),0),M14)</f>
        <v>1734.9544317610903</v>
      </c>
      <c r="O14" s="11">
        <f>IF(Components!P14&gt;0,PPMT(EarningsRate,1,Components!$K14,0,-Components!P14*((1+InflationRate)^Components!$K14),0),N14)</f>
        <v>1734.9544317610903</v>
      </c>
      <c r="P14" s="11">
        <f>IF(Components!Q14&gt;0,PPMT(EarningsRate,1,Components!$K14,0,-Components!Q14*((1+InflationRate)^Components!$K14),0),O14)</f>
        <v>1734.9544317610903</v>
      </c>
      <c r="Q14" s="11">
        <f>IF(Components!R14&gt;0,PPMT(EarningsRate,1,Components!$K14,0,-Components!R14*((1+InflationRate)^Components!$K14),0),P14)</f>
        <v>1734.9544317610903</v>
      </c>
      <c r="R14" s="11">
        <f>IF(Components!S14&gt;0,PPMT(EarningsRate,1,Components!$K14,0,-Components!S14*((1+InflationRate)^Components!$K14),0),Q14)</f>
        <v>1734.9544317610903</v>
      </c>
      <c r="S14" s="11">
        <f>IF(Components!T14&gt;0,PPMT(EarningsRate,1,Components!$K14,0,-Components!T14*((1+InflationRate)^Components!$K14),0),R14)</f>
        <v>2906.65387865922</v>
      </c>
      <c r="T14" s="11">
        <f>IF(Components!U14&gt;0,PPMT(EarningsRate,1,Components!$K14,0,-Components!U14*((1+InflationRate)^Components!$K14),0),S14)</f>
        <v>2906.65387865922</v>
      </c>
      <c r="U14" s="11">
        <f>IF(Components!V14&gt;0,PPMT(EarningsRate,1,Components!$K14,0,-Components!V14*((1+InflationRate)^Components!$K14),0),T14)</f>
        <v>2906.65387865922</v>
      </c>
      <c r="V14" s="11">
        <f>IF(Components!W14&gt;0,PPMT(EarningsRate,1,Components!$K14,0,-Components!W14*((1+InflationRate)^Components!$K14),0),U14)</f>
        <v>2906.65387865922</v>
      </c>
      <c r="W14" s="11">
        <f>IF(Components!X14&gt;0,PPMT(EarningsRate,1,Components!$K14,0,-Components!X14*((1+InflationRate)^Components!$K14),0),V14)</f>
        <v>2906.65387865922</v>
      </c>
      <c r="X14" s="11">
        <f>IF(Components!Y14&gt;0,PPMT(EarningsRate,1,Components!$K14,0,-Components!Y14*((1+InflationRate)^Components!$K14),0),W14)</f>
        <v>2906.65387865922</v>
      </c>
      <c r="Y14" s="11">
        <f>IF(Components!Z14&gt;0,PPMT(EarningsRate,1,Components!$K14,0,-Components!Z14*((1+InflationRate)^Components!$K14),0),X14)</f>
        <v>2906.65387865922</v>
      </c>
      <c r="Z14" s="11">
        <f>IF(Components!AA14&gt;0,PPMT(EarningsRate,1,Components!$K14,0,-Components!AA14*((1+InflationRate)^Components!$K14),0),Y14)</f>
        <v>2906.65387865922</v>
      </c>
      <c r="AA14" s="11">
        <f>IF(Components!AB14&gt;0,PPMT(EarningsRate,1,Components!$K14,0,-Components!AB14*((1+InflationRate)^Components!$K14),0),Z14)</f>
        <v>2906.65387865922</v>
      </c>
      <c r="AB14" s="11">
        <f>IF(Components!AC14&gt;0,PPMT(EarningsRate,1,Components!$K14,0,-Components!AC14*((1+InflationRate)^Components!$K14),0),AA14)</f>
        <v>2906.65387865922</v>
      </c>
      <c r="AC14" s="11">
        <f>IF(Components!AD14&gt;0,PPMT(EarningsRate,1,Components!$K14,0,-Components!AD14*((1+InflationRate)^Components!$K14),0),AB14)</f>
        <v>2906.65387865922</v>
      </c>
      <c r="AD14" s="11">
        <f>IF(Components!AE14&gt;0,PPMT(EarningsRate,1,Components!$K14,0,-Components!AE14*((1+InflationRate)^Components!$K14),0),AC14)</f>
        <v>2906.65387865922</v>
      </c>
      <c r="AE14" s="11">
        <f>IF(Components!AF14&gt;0,PPMT(EarningsRate,1,Components!$K14,0,-Components!AF14*((1+InflationRate)^Components!$K14),0),AD14)</f>
        <v>2906.65387865922</v>
      </c>
      <c r="AF14" s="11">
        <f>IF(Components!AG14&gt;0,PPMT(EarningsRate,1,Components!$K14,0,-Components!AG14*((1+InflationRate)^Components!$K14),0),AE14)</f>
        <v>2906.65387865922</v>
      </c>
      <c r="AG14" s="11">
        <f>IF(Components!AH14&gt;0,PPMT(EarningsRate,1,Components!$K14,0,-Components!AH14*((1+InflationRate)^Components!$K14),0),AF14)</f>
        <v>2906.65387865922</v>
      </c>
      <c r="AH14" s="11">
        <f>IF(Components!AI14&gt;0,PPMT(EarningsRate,1,Components!$K14,0,-Components!AI14*((1+InflationRate)^Components!$K14),0),AG14)</f>
        <v>4869.5902146360577</v>
      </c>
      <c r="AI14" s="11">
        <f>IF(Components!AJ14&gt;0,PPMT(EarningsRate,1,Components!$K14,0,-Components!AJ14*((1+InflationRate)^Components!$K14),0),AH14)</f>
        <v>4869.5902146360577</v>
      </c>
      <c r="AJ14" s="11">
        <f>IF(Components!AK14&gt;0,PPMT(EarningsRate,1,Components!$K14,0,-Components!AK14*((1+InflationRate)^Components!$K14),0),AI14)</f>
        <v>4869.5902146360577</v>
      </c>
      <c r="AK14" s="11">
        <f>IF(Components!AL14&gt;0,PPMT(EarningsRate,1,Components!$K14,0,-Components!AL14*((1+InflationRate)^Components!$K14),0),AJ14)</f>
        <v>4869.5902146360577</v>
      </c>
      <c r="AL14" s="11">
        <f>IF(Components!AM14&gt;0,PPMT(EarningsRate,1,Components!$K14,0,-Components!AM14*((1+InflationRate)^Components!$K14),0),AK14)</f>
        <v>4869.5902146360577</v>
      </c>
      <c r="AM14" s="11">
        <f>IF(Components!AN14&gt;0,PPMT(EarningsRate,1,Components!$K14,0,-Components!AN14*((1+InflationRate)^Components!$K14),0),AL14)</f>
        <v>4869.5902146360577</v>
      </c>
      <c r="AN14" s="11">
        <f>IF(Components!AO14&gt;0,PPMT(EarningsRate,1,Components!$K14,0,-Components!AO14*((1+InflationRate)^Components!$K14),0),AM14)</f>
        <v>4869.5902146360577</v>
      </c>
      <c r="AO14" s="11">
        <f>IF(Components!AP14&gt;0,PPMT(EarningsRate,1,Components!$K14,0,-Components!AP14*((1+InflationRate)^Components!$K14),0),AN14)</f>
        <v>4869.5902146360577</v>
      </c>
      <c r="AP14" s="214"/>
      <c r="AQ14" s="11">
        <f t="shared" si="1"/>
        <v>96436.165451065521</v>
      </c>
    </row>
    <row r="15" spans="1:43" s="1" customFormat="1">
      <c r="A15" s="220" t="str">
        <f>Components!B15</f>
        <v>Club Flooring</v>
      </c>
      <c r="B15" s="220" t="str">
        <f>Components!C15</f>
        <v>Management Office/Board Room</v>
      </c>
      <c r="C15" s="211"/>
      <c r="D15" s="211"/>
      <c r="E15" s="211"/>
      <c r="F15" s="88"/>
      <c r="G15" s="212"/>
      <c r="H15" s="212"/>
      <c r="I15" s="212"/>
      <c r="J15" s="211"/>
      <c r="K15" s="11">
        <f>IF('FF Balance'!H15&gt;=0,PPMT(EarningsRate,1,Components!K15,0,-'FF Balance'!G15,0),0)</f>
        <v>2351.1163015040988</v>
      </c>
      <c r="L15" s="11">
        <f>IF(Components!M15&gt;0,PPMT(EarningsRate,1,Components!$K15,0,-Components!M15*((1+InflationRate)^Components!$K15),0),K15)</f>
        <v>2351.1163015040988</v>
      </c>
      <c r="M15" s="11">
        <f>IF(Components!N15&gt;0,PPMT(EarningsRate,1,Components!$K15,0,-Components!N15*((1+InflationRate)^Components!$K15),0),L15)</f>
        <v>3095.9711927725698</v>
      </c>
      <c r="N15" s="11">
        <f>IF(Components!O15&gt;0,PPMT(EarningsRate,1,Components!$K15,0,-Components!O15*((1+InflationRate)^Components!$K15),0),M15)</f>
        <v>3095.9711927725698</v>
      </c>
      <c r="O15" s="11">
        <f>IF(Components!P15&gt;0,PPMT(EarningsRate,1,Components!$K15,0,-Components!P15*((1+InflationRate)^Components!$K15),0),N15)</f>
        <v>3095.9711927725698</v>
      </c>
      <c r="P15" s="11">
        <f>IF(Components!Q15&gt;0,PPMT(EarningsRate,1,Components!$K15,0,-Components!Q15*((1+InflationRate)^Components!$K15),0),O15)</f>
        <v>3095.9711927725698</v>
      </c>
      <c r="Q15" s="11">
        <f>IF(Components!R15&gt;0,PPMT(EarningsRate,1,Components!$K15,0,-Components!R15*((1+InflationRate)^Components!$K15),0),P15)</f>
        <v>3095.9711927725698</v>
      </c>
      <c r="R15" s="11">
        <f>IF(Components!S15&gt;0,PPMT(EarningsRate,1,Components!$K15,0,-Components!S15*((1+InflationRate)^Components!$K15),0),Q15)</f>
        <v>3095.9711927725698</v>
      </c>
      <c r="S15" s="11">
        <f>IF(Components!T15&gt;0,PPMT(EarningsRate,1,Components!$K15,0,-Components!T15*((1+InflationRate)^Components!$K15),0),R15)</f>
        <v>3095.9711927725698</v>
      </c>
      <c r="T15" s="11">
        <f>IF(Components!U15&gt;0,PPMT(EarningsRate,1,Components!$K15,0,-Components!U15*((1+InflationRate)^Components!$K15),0),S15)</f>
        <v>3095.9711927725698</v>
      </c>
      <c r="U15" s="11">
        <f>IF(Components!V15&gt;0,PPMT(EarningsRate,1,Components!$K15,0,-Components!V15*((1+InflationRate)^Components!$K15),0),T15)</f>
        <v>4076.6958583019778</v>
      </c>
      <c r="V15" s="11">
        <f>IF(Components!W15&gt;0,PPMT(EarningsRate,1,Components!$K15,0,-Components!W15*((1+InflationRate)^Components!$K15),0),U15)</f>
        <v>4076.6958583019778</v>
      </c>
      <c r="W15" s="11">
        <f>IF(Components!X15&gt;0,PPMT(EarningsRate,1,Components!$K15,0,-Components!X15*((1+InflationRate)^Components!$K15),0),V15)</f>
        <v>4076.6958583019778</v>
      </c>
      <c r="X15" s="11">
        <f>IF(Components!Y15&gt;0,PPMT(EarningsRate,1,Components!$K15,0,-Components!Y15*((1+InflationRate)^Components!$K15),0),W15)</f>
        <v>4076.6958583019778</v>
      </c>
      <c r="Y15" s="11">
        <f>IF(Components!Z15&gt;0,PPMT(EarningsRate,1,Components!$K15,0,-Components!Z15*((1+InflationRate)^Components!$K15),0),X15)</f>
        <v>4076.6958583019778</v>
      </c>
      <c r="Z15" s="11">
        <f>IF(Components!AA15&gt;0,PPMT(EarningsRate,1,Components!$K15,0,-Components!AA15*((1+InflationRate)^Components!$K15),0),Y15)</f>
        <v>4076.6958583019778</v>
      </c>
      <c r="AA15" s="11">
        <f>IF(Components!AB15&gt;0,PPMT(EarningsRate,1,Components!$K15,0,-Components!AB15*((1+InflationRate)^Components!$K15),0),Z15)</f>
        <v>4076.6958583019778</v>
      </c>
      <c r="AB15" s="11">
        <f>IF(Components!AC15&gt;0,PPMT(EarningsRate,1,Components!$K15,0,-Components!AC15*((1+InflationRate)^Components!$K15),0),AA15)</f>
        <v>4076.6958583019778</v>
      </c>
      <c r="AC15" s="11">
        <f>IF(Components!AD15&gt;0,PPMT(EarningsRate,1,Components!$K15,0,-Components!AD15*((1+InflationRate)^Components!$K15),0),AB15)</f>
        <v>5368.2253944504473</v>
      </c>
      <c r="AD15" s="11">
        <f>IF(Components!AE15&gt;0,PPMT(EarningsRate,1,Components!$K15,0,-Components!AE15*((1+InflationRate)^Components!$K15),0),AC15)</f>
        <v>5368.2253944504473</v>
      </c>
      <c r="AE15" s="11">
        <f>IF(Components!AF15&gt;0,PPMT(EarningsRate,1,Components!$K15,0,-Components!AF15*((1+InflationRate)^Components!$K15),0),AD15)</f>
        <v>5368.2253944504473</v>
      </c>
      <c r="AF15" s="11">
        <f>IF(Components!AG15&gt;0,PPMT(EarningsRate,1,Components!$K15,0,-Components!AG15*((1+InflationRate)^Components!$K15),0),AE15)</f>
        <v>5368.2253944504473</v>
      </c>
      <c r="AG15" s="11">
        <f>IF(Components!AH15&gt;0,PPMT(EarningsRate,1,Components!$K15,0,-Components!AH15*((1+InflationRate)^Components!$K15),0),AF15)</f>
        <v>5368.2253944504473</v>
      </c>
      <c r="AH15" s="11">
        <f>IF(Components!AI15&gt;0,PPMT(EarningsRate,1,Components!$K15,0,-Components!AI15*((1+InflationRate)^Components!$K15),0),AG15)</f>
        <v>5368.2253944504473</v>
      </c>
      <c r="AI15" s="11">
        <f>IF(Components!AJ15&gt;0,PPMT(EarningsRate,1,Components!$K15,0,-Components!AJ15*((1+InflationRate)^Components!$K15),0),AH15)</f>
        <v>5368.2253944504473</v>
      </c>
      <c r="AJ15" s="11">
        <f>IF(Components!AK15&gt;0,PPMT(EarningsRate,1,Components!$K15,0,-Components!AK15*((1+InflationRate)^Components!$K15),0),AI15)</f>
        <v>5368.2253944504473</v>
      </c>
      <c r="AK15" s="11">
        <f>IF(Components!AL15&gt;0,PPMT(EarningsRate,1,Components!$K15,0,-Components!AL15*((1+InflationRate)^Components!$K15),0),AJ15)</f>
        <v>7069.0144675626334</v>
      </c>
      <c r="AL15" s="11">
        <f>IF(Components!AM15&gt;0,PPMT(EarningsRate,1,Components!$K15,0,-Components!AM15*((1+InflationRate)^Components!$K15),0),AK15)</f>
        <v>7069.0144675626334</v>
      </c>
      <c r="AM15" s="11">
        <f>IF(Components!AN15&gt;0,PPMT(EarningsRate,1,Components!$K15,0,-Components!AN15*((1+InflationRate)^Components!$K15),0),AL15)</f>
        <v>7069.0144675626334</v>
      </c>
      <c r="AN15" s="11">
        <f>IF(Components!AO15&gt;0,PPMT(EarningsRate,1,Components!$K15,0,-Components!AO15*((1+InflationRate)^Components!$K15),0),AM15)</f>
        <v>7069.0144675626334</v>
      </c>
      <c r="AO15" s="11">
        <f>IF(Components!AP15&gt;0,PPMT(EarningsRate,1,Components!$K15,0,-Components!AP15*((1+InflationRate)^Components!$K15),0),AN15)</f>
        <v>7069.0144675626334</v>
      </c>
      <c r="AP15" s="214"/>
      <c r="AQ15" s="11">
        <f t="shared" si="1"/>
        <v>140374.44460502136</v>
      </c>
    </row>
    <row r="16" spans="1:43" s="1" customFormat="1">
      <c r="A16" s="220" t="str">
        <f>Components!B16</f>
        <v>Club Flooring</v>
      </c>
      <c r="B16" s="220" t="str">
        <f>Components!C16</f>
        <v>Upstairs Hallways/Activity Rooms</v>
      </c>
      <c r="C16" s="211"/>
      <c r="D16" s="211"/>
      <c r="E16" s="211"/>
      <c r="F16" s="88"/>
      <c r="G16" s="212"/>
      <c r="H16" s="212"/>
      <c r="I16" s="212"/>
      <c r="J16" s="211"/>
      <c r="K16" s="11">
        <f>IF('FF Balance'!H16&gt;=0,PPMT(EarningsRate,1,Components!K16,0,-'FF Balance'!G16,0),0)</f>
        <v>4133.2325045601419</v>
      </c>
      <c r="L16" s="11">
        <f>IF(Components!M16&gt;0,PPMT(EarningsRate,1,Components!$K16,0,-Components!M16*((1+InflationRate)^Components!$K16),0),K16)</f>
        <v>4133.2325045601419</v>
      </c>
      <c r="M16" s="11">
        <f>IF(Components!N16&gt;0,PPMT(EarningsRate,1,Components!$K16,0,-Components!N16*((1+InflationRate)^Components!$K16),0),L16)</f>
        <v>5442.6779138756738</v>
      </c>
      <c r="N16" s="11">
        <f>IF(Components!O16&gt;0,PPMT(EarningsRate,1,Components!$K16,0,-Components!O16*((1+InflationRate)^Components!$K16),0),M16)</f>
        <v>5442.6779138756738</v>
      </c>
      <c r="O16" s="11">
        <f>IF(Components!P16&gt;0,PPMT(EarningsRate,1,Components!$K16,0,-Components!P16*((1+InflationRate)^Components!$K16),0),N16)</f>
        <v>5442.6779138756738</v>
      </c>
      <c r="P16" s="11">
        <f>IF(Components!Q16&gt;0,PPMT(EarningsRate,1,Components!$K16,0,-Components!Q16*((1+InflationRate)^Components!$K16),0),O16)</f>
        <v>5442.6779138756738</v>
      </c>
      <c r="Q16" s="11">
        <f>IF(Components!R16&gt;0,PPMT(EarningsRate,1,Components!$K16,0,-Components!R16*((1+InflationRate)^Components!$K16),0),P16)</f>
        <v>5442.6779138756738</v>
      </c>
      <c r="R16" s="11">
        <f>IF(Components!S16&gt;0,PPMT(EarningsRate,1,Components!$K16,0,-Components!S16*((1+InflationRate)^Components!$K16),0),Q16)</f>
        <v>5442.6779138756738</v>
      </c>
      <c r="S16" s="11">
        <f>IF(Components!T16&gt;0,PPMT(EarningsRate,1,Components!$K16,0,-Components!T16*((1+InflationRate)^Components!$K16),0),R16)</f>
        <v>5442.6779138756738</v>
      </c>
      <c r="T16" s="11">
        <f>IF(Components!U16&gt;0,PPMT(EarningsRate,1,Components!$K16,0,-Components!U16*((1+InflationRate)^Components!$K16),0),S16)</f>
        <v>5442.6779138756738</v>
      </c>
      <c r="U16" s="11">
        <f>IF(Components!V16&gt;0,PPMT(EarningsRate,1,Components!$K16,0,-Components!V16*((1+InflationRate)^Components!$K16),0),T16)</f>
        <v>7167.0104941572308</v>
      </c>
      <c r="V16" s="11">
        <f>IF(Components!W16&gt;0,PPMT(EarningsRate,1,Components!$K16,0,-Components!W16*((1+InflationRate)^Components!$K16),0),U16)</f>
        <v>7167.0104941572308</v>
      </c>
      <c r="W16" s="11">
        <f>IF(Components!X16&gt;0,PPMT(EarningsRate,1,Components!$K16,0,-Components!X16*((1+InflationRate)^Components!$K16),0),V16)</f>
        <v>7167.0104941572308</v>
      </c>
      <c r="X16" s="11">
        <f>IF(Components!Y16&gt;0,PPMT(EarningsRate,1,Components!$K16,0,-Components!Y16*((1+InflationRate)^Components!$K16),0),W16)</f>
        <v>7167.0104941572308</v>
      </c>
      <c r="Y16" s="11">
        <f>IF(Components!Z16&gt;0,PPMT(EarningsRate,1,Components!$K16,0,-Components!Z16*((1+InflationRate)^Components!$K16),0),X16)</f>
        <v>7167.0104941572308</v>
      </c>
      <c r="Z16" s="11">
        <f>IF(Components!AA16&gt;0,PPMT(EarningsRate,1,Components!$K16,0,-Components!AA16*((1+InflationRate)^Components!$K16),0),Y16)</f>
        <v>7167.0104941572308</v>
      </c>
      <c r="AA16" s="11">
        <f>IF(Components!AB16&gt;0,PPMT(EarningsRate,1,Components!$K16,0,-Components!AB16*((1+InflationRate)^Components!$K16),0),Z16)</f>
        <v>7167.0104941572308</v>
      </c>
      <c r="AB16" s="11">
        <f>IF(Components!AC16&gt;0,PPMT(EarningsRate,1,Components!$K16,0,-Components!AC16*((1+InflationRate)^Components!$K16),0),AA16)</f>
        <v>7167.0104941572308</v>
      </c>
      <c r="AC16" s="11">
        <f>IF(Components!AD16&gt;0,PPMT(EarningsRate,1,Components!$K16,0,-Components!AD16*((1+InflationRate)^Components!$K16),0),AB16)</f>
        <v>9437.5830167515815</v>
      </c>
      <c r="AD16" s="11">
        <f>IF(Components!AE16&gt;0,PPMT(EarningsRate,1,Components!$K16,0,-Components!AE16*((1+InflationRate)^Components!$K16),0),AC16)</f>
        <v>9437.5830167515815</v>
      </c>
      <c r="AE16" s="11">
        <f>IF(Components!AF16&gt;0,PPMT(EarningsRate,1,Components!$K16,0,-Components!AF16*((1+InflationRate)^Components!$K16),0),AD16)</f>
        <v>9437.5830167515815</v>
      </c>
      <c r="AF16" s="11">
        <f>IF(Components!AG16&gt;0,PPMT(EarningsRate,1,Components!$K16,0,-Components!AG16*((1+InflationRate)^Components!$K16),0),AE16)</f>
        <v>9437.5830167515815</v>
      </c>
      <c r="AG16" s="11">
        <f>IF(Components!AH16&gt;0,PPMT(EarningsRate,1,Components!$K16,0,-Components!AH16*((1+InflationRate)^Components!$K16),0),AF16)</f>
        <v>9437.5830167515815</v>
      </c>
      <c r="AH16" s="11">
        <f>IF(Components!AI16&gt;0,PPMT(EarningsRate,1,Components!$K16,0,-Components!AI16*((1+InflationRate)^Components!$K16),0),AG16)</f>
        <v>9437.5830167515815</v>
      </c>
      <c r="AI16" s="11">
        <f>IF(Components!AJ16&gt;0,PPMT(EarningsRate,1,Components!$K16,0,-Components!AJ16*((1+InflationRate)^Components!$K16),0),AH16)</f>
        <v>9437.5830167515815</v>
      </c>
      <c r="AJ16" s="11">
        <f>IF(Components!AK16&gt;0,PPMT(EarningsRate,1,Components!$K16,0,-Components!AK16*((1+InflationRate)^Components!$K16),0),AI16)</f>
        <v>9437.5830167515815</v>
      </c>
      <c r="AK16" s="11">
        <f>IF(Components!AL16&gt;0,PPMT(EarningsRate,1,Components!$K16,0,-Components!AL16*((1+InflationRate)^Components!$K16),0),AJ16)</f>
        <v>12427.455547345289</v>
      </c>
      <c r="AL16" s="11">
        <f>IF(Components!AM16&gt;0,PPMT(EarningsRate,1,Components!$K16,0,-Components!AM16*((1+InflationRate)^Components!$K16),0),AK16)</f>
        <v>12427.455547345289</v>
      </c>
      <c r="AM16" s="11">
        <f>IF(Components!AN16&gt;0,PPMT(EarningsRate,1,Components!$K16,0,-Components!AN16*((1+InflationRate)^Components!$K16),0),AL16)</f>
        <v>12427.455547345289</v>
      </c>
      <c r="AN16" s="11">
        <f>IF(Components!AO16&gt;0,PPMT(EarningsRate,1,Components!$K16,0,-Components!AO16*((1+InflationRate)^Components!$K16),0),AM16)</f>
        <v>12427.455547345289</v>
      </c>
      <c r="AO16" s="11">
        <f>IF(Components!AP16&gt;0,PPMT(EarningsRate,1,Components!$K16,0,-Components!AP16*((1+InflationRate)^Components!$K16),0),AN16)</f>
        <v>12427.455547345289</v>
      </c>
      <c r="AP16" s="214"/>
      <c r="AQ16" s="11">
        <f t="shared" si="1"/>
        <v>246781.91424412251</v>
      </c>
    </row>
    <row r="17" spans="1:43" s="1" customFormat="1">
      <c r="A17" s="220" t="str">
        <f>Components!B17</f>
        <v>Club HVAC</v>
      </c>
      <c r="B17" s="220" t="str">
        <f>Components!C17</f>
        <v>Boiler</v>
      </c>
      <c r="C17" s="211"/>
      <c r="D17" s="211"/>
      <c r="E17" s="211"/>
      <c r="F17" s="88"/>
      <c r="G17" s="212"/>
      <c r="H17" s="212"/>
      <c r="I17" s="212"/>
      <c r="J17" s="211"/>
      <c r="K17" s="11">
        <f>IF('FF Balance'!H17&gt;=0,PPMT(EarningsRate,1,Components!K17,0,-'FF Balance'!G17,0),0)</f>
        <v>2404.5144574925221</v>
      </c>
      <c r="L17" s="11">
        <f>IF(Components!M17&gt;0,PPMT(EarningsRate,1,Components!$K17,0,-Components!M17*((1+InflationRate)^Components!$K17),0),K17)</f>
        <v>2404.5144574925221</v>
      </c>
      <c r="M17" s="11">
        <f>IF(Components!N17&gt;0,PPMT(EarningsRate,1,Components!$K17,0,-Components!N17*((1+InflationRate)^Components!$K17),0),L17)</f>
        <v>2404.5144574925221</v>
      </c>
      <c r="N17" s="11">
        <f>IF(Components!O17&gt;0,PPMT(EarningsRate,1,Components!$K17,0,-Components!O17*((1+InflationRate)^Components!$K17),0),M17)</f>
        <v>2404.5144574925221</v>
      </c>
      <c r="O17" s="11">
        <f>IF(Components!P17&gt;0,PPMT(EarningsRate,1,Components!$K17,0,-Components!P17*((1+InflationRate)^Components!$K17),0),N17)</f>
        <v>2404.5144574925221</v>
      </c>
      <c r="P17" s="11">
        <f>IF(Components!Q17&gt;0,PPMT(EarningsRate,1,Components!$K17,0,-Components!Q17*((1+InflationRate)^Components!$K17),0),O17)</f>
        <v>2404.5144574925221</v>
      </c>
      <c r="Q17" s="11">
        <f>IF(Components!R17&gt;0,PPMT(EarningsRate,1,Components!$K17,0,-Components!R17*((1+InflationRate)^Components!$K17),0),P17)</f>
        <v>2404.5144574925221</v>
      </c>
      <c r="R17" s="11">
        <f>IF(Components!S17&gt;0,PPMT(EarningsRate,1,Components!$K17,0,-Components!S17*((1+InflationRate)^Components!$K17),0),Q17)</f>
        <v>2404.5144574925221</v>
      </c>
      <c r="S17" s="11">
        <f>IF(Components!T17&gt;0,PPMT(EarningsRate,1,Components!$K17,0,-Components!T17*((1+InflationRate)^Components!$K17),0),R17)</f>
        <v>4028.4004848867603</v>
      </c>
      <c r="T17" s="11">
        <f>IF(Components!U17&gt;0,PPMT(EarningsRate,1,Components!$K17,0,-Components!U17*((1+InflationRate)^Components!$K17),0),S17)</f>
        <v>4028.4004848867603</v>
      </c>
      <c r="U17" s="11">
        <f>IF(Components!V17&gt;0,PPMT(EarningsRate,1,Components!$K17,0,-Components!V17*((1+InflationRate)^Components!$K17),0),T17)</f>
        <v>4028.4004848867603</v>
      </c>
      <c r="V17" s="11">
        <f>IF(Components!W17&gt;0,PPMT(EarningsRate,1,Components!$K17,0,-Components!W17*((1+InflationRate)^Components!$K17),0),U17)</f>
        <v>4028.4004848867603</v>
      </c>
      <c r="W17" s="11">
        <f>IF(Components!X17&gt;0,PPMT(EarningsRate,1,Components!$K17,0,-Components!X17*((1+InflationRate)^Components!$K17),0),V17)</f>
        <v>4028.4004848867603</v>
      </c>
      <c r="X17" s="11">
        <f>IF(Components!Y17&gt;0,PPMT(EarningsRate,1,Components!$K17,0,-Components!Y17*((1+InflationRate)^Components!$K17),0),W17)</f>
        <v>4028.4004848867603</v>
      </c>
      <c r="Y17" s="11">
        <f>IF(Components!Z17&gt;0,PPMT(EarningsRate,1,Components!$K17,0,-Components!Z17*((1+InflationRate)^Components!$K17),0),X17)</f>
        <v>4028.4004848867603</v>
      </c>
      <c r="Z17" s="11">
        <f>IF(Components!AA17&gt;0,PPMT(EarningsRate,1,Components!$K17,0,-Components!AA17*((1+InflationRate)^Components!$K17),0),Y17)</f>
        <v>4028.4004848867603</v>
      </c>
      <c r="AA17" s="11">
        <f>IF(Components!AB17&gt;0,PPMT(EarningsRate,1,Components!$K17,0,-Components!AB17*((1+InflationRate)^Components!$K17),0),Z17)</f>
        <v>4028.4004848867603</v>
      </c>
      <c r="AB17" s="11">
        <f>IF(Components!AC17&gt;0,PPMT(EarningsRate,1,Components!$K17,0,-Components!AC17*((1+InflationRate)^Components!$K17),0),AA17)</f>
        <v>4028.4004848867603</v>
      </c>
      <c r="AC17" s="11">
        <f>IF(Components!AD17&gt;0,PPMT(EarningsRate,1,Components!$K17,0,-Components!AD17*((1+InflationRate)^Components!$K17),0),AB17)</f>
        <v>4028.4004848867603</v>
      </c>
      <c r="AD17" s="11">
        <f>IF(Components!AE17&gt;0,PPMT(EarningsRate,1,Components!$K17,0,-Components!AE17*((1+InflationRate)^Components!$K17),0),AC17)</f>
        <v>4028.4004848867603</v>
      </c>
      <c r="AE17" s="11">
        <f>IF(Components!AF17&gt;0,PPMT(EarningsRate,1,Components!$K17,0,-Components!AF17*((1+InflationRate)^Components!$K17),0),AD17)</f>
        <v>4028.4004848867603</v>
      </c>
      <c r="AF17" s="11">
        <f>IF(Components!AG17&gt;0,PPMT(EarningsRate,1,Components!$K17,0,-Components!AG17*((1+InflationRate)^Components!$K17),0),AE17)</f>
        <v>4028.4004848867603</v>
      </c>
      <c r="AG17" s="11">
        <f>IF(Components!AH17&gt;0,PPMT(EarningsRate,1,Components!$K17,0,-Components!AH17*((1+InflationRate)^Components!$K17),0),AF17)</f>
        <v>4028.4004848867603</v>
      </c>
      <c r="AH17" s="11">
        <f>IF(Components!AI17&gt;0,PPMT(EarningsRate,1,Components!$K17,0,-Components!AI17*((1+InflationRate)^Components!$K17),0),AG17)</f>
        <v>6748.9461852856448</v>
      </c>
      <c r="AI17" s="11">
        <f>IF(Components!AJ17&gt;0,PPMT(EarningsRate,1,Components!$K17,0,-Components!AJ17*((1+InflationRate)^Components!$K17),0),AH17)</f>
        <v>6748.9461852856448</v>
      </c>
      <c r="AJ17" s="11">
        <f>IF(Components!AK17&gt;0,PPMT(EarningsRate,1,Components!$K17,0,-Components!AK17*((1+InflationRate)^Components!$K17),0),AI17)</f>
        <v>6748.9461852856448</v>
      </c>
      <c r="AK17" s="11">
        <f>IF(Components!AL17&gt;0,PPMT(EarningsRate,1,Components!$K17,0,-Components!AL17*((1+InflationRate)^Components!$K17),0),AJ17)</f>
        <v>6748.9461852856448</v>
      </c>
      <c r="AL17" s="11">
        <f>IF(Components!AM17&gt;0,PPMT(EarningsRate,1,Components!$K17,0,-Components!AM17*((1+InflationRate)^Components!$K17),0),AK17)</f>
        <v>6748.9461852856448</v>
      </c>
      <c r="AM17" s="11">
        <f>IF(Components!AN17&gt;0,PPMT(EarningsRate,1,Components!$K17,0,-Components!AN17*((1+InflationRate)^Components!$K17),0),AL17)</f>
        <v>6748.9461852856448</v>
      </c>
      <c r="AN17" s="11">
        <f>IF(Components!AO17&gt;0,PPMT(EarningsRate,1,Components!$K17,0,-Components!AO17*((1+InflationRate)^Components!$K17),0),AM17)</f>
        <v>6748.9461852856448</v>
      </c>
      <c r="AO17" s="11">
        <f>IF(Components!AP17&gt;0,PPMT(EarningsRate,1,Components!$K17,0,-Components!AP17*((1+InflationRate)^Components!$K17),0),AN17)</f>
        <v>6748.9461852856448</v>
      </c>
      <c r="AP17" s="214"/>
      <c r="AQ17" s="11">
        <f t="shared" si="1"/>
        <v>133653.69251552678</v>
      </c>
    </row>
    <row r="18" spans="1:43" s="1" customFormat="1">
      <c r="A18" s="220" t="str">
        <f>Components!B18</f>
        <v>Club HVAC</v>
      </c>
      <c r="B18" s="220" t="str">
        <f>Components!C18</f>
        <v>Boiler #1 Copper Coil</v>
      </c>
      <c r="C18" s="211"/>
      <c r="D18" s="211"/>
      <c r="E18" s="211"/>
      <c r="F18" s="88"/>
      <c r="G18" s="212"/>
      <c r="H18" s="212"/>
      <c r="I18" s="212"/>
      <c r="J18" s="211"/>
      <c r="K18" s="11">
        <f>IF('FF Balance'!H18&gt;=0,PPMT(EarningsRate,1,Components!K18,0,-'FF Balance'!G18,0),0)</f>
        <v>1089.9654161482431</v>
      </c>
      <c r="L18" s="11">
        <f>IF(Components!M18&gt;0,PPMT(EarningsRate,1,Components!$K18,0,-Components!M18*((1+InflationRate)^Components!$K18),0),K18)</f>
        <v>1089.9654161482431</v>
      </c>
      <c r="M18" s="11">
        <f>IF(Components!N18&gt;0,PPMT(EarningsRate,1,Components!$K18,0,-Components!N18*((1+InflationRate)^Components!$K18),0),L18)</f>
        <v>1089.9654161482431</v>
      </c>
      <c r="N18" s="11">
        <f>IF(Components!O18&gt;0,PPMT(EarningsRate,1,Components!$K18,0,-Components!O18*((1+InflationRate)^Components!$K18),0),M18)</f>
        <v>1089.9654161482431</v>
      </c>
      <c r="O18" s="11">
        <f>IF(Components!P18&gt;0,PPMT(EarningsRate,1,Components!$K18,0,-Components!P18*((1+InflationRate)^Components!$K18),0),N18)</f>
        <v>1089.9654161482431</v>
      </c>
      <c r="P18" s="11">
        <f>IF(Components!Q18&gt;0,PPMT(EarningsRate,1,Components!$K18,0,-Components!Q18*((1+InflationRate)^Components!$K18),0),O18)</f>
        <v>1826.0722855042504</v>
      </c>
      <c r="Q18" s="11">
        <f>IF(Components!R18&gt;0,PPMT(EarningsRate,1,Components!$K18,0,-Components!R18*((1+InflationRate)^Components!$K18),0),P18)</f>
        <v>1826.0722855042504</v>
      </c>
      <c r="R18" s="11">
        <f>IF(Components!S18&gt;0,PPMT(EarningsRate,1,Components!$K18,0,-Components!S18*((1+InflationRate)^Components!$K18),0),Q18)</f>
        <v>1826.0722855042504</v>
      </c>
      <c r="S18" s="11">
        <f>IF(Components!T18&gt;0,PPMT(EarningsRate,1,Components!$K18,0,-Components!T18*((1+InflationRate)^Components!$K18),0),R18)</f>
        <v>1826.0722855042504</v>
      </c>
      <c r="T18" s="11">
        <f>IF(Components!U18&gt;0,PPMT(EarningsRate,1,Components!$K18,0,-Components!U18*((1+InflationRate)^Components!$K18),0),S18)</f>
        <v>1826.0722855042504</v>
      </c>
      <c r="U18" s="11">
        <f>IF(Components!V18&gt;0,PPMT(EarningsRate,1,Components!$K18,0,-Components!V18*((1+InflationRate)^Components!$K18),0),T18)</f>
        <v>1826.0722855042504</v>
      </c>
      <c r="V18" s="11">
        <f>IF(Components!W18&gt;0,PPMT(EarningsRate,1,Components!$K18,0,-Components!W18*((1+InflationRate)^Components!$K18),0),U18)</f>
        <v>1826.0722855042504</v>
      </c>
      <c r="W18" s="11">
        <f>IF(Components!X18&gt;0,PPMT(EarningsRate,1,Components!$K18,0,-Components!X18*((1+InflationRate)^Components!$K18),0),V18)</f>
        <v>1826.0722855042504</v>
      </c>
      <c r="X18" s="11">
        <f>IF(Components!Y18&gt;0,PPMT(EarningsRate,1,Components!$K18,0,-Components!Y18*((1+InflationRate)^Components!$K18),0),W18)</f>
        <v>1826.0722855042504</v>
      </c>
      <c r="Y18" s="11">
        <f>IF(Components!Z18&gt;0,PPMT(EarningsRate,1,Components!$K18,0,-Components!Z18*((1+InflationRate)^Components!$K18),0),X18)</f>
        <v>1826.0722855042504</v>
      </c>
      <c r="Z18" s="11">
        <f>IF(Components!AA18&gt;0,PPMT(EarningsRate,1,Components!$K18,0,-Components!AA18*((1+InflationRate)^Components!$K18),0),Y18)</f>
        <v>1826.0722855042504</v>
      </c>
      <c r="AA18" s="11">
        <f>IF(Components!AB18&gt;0,PPMT(EarningsRate,1,Components!$K18,0,-Components!AB18*((1+InflationRate)^Components!$K18),0),Z18)</f>
        <v>1826.0722855042504</v>
      </c>
      <c r="AB18" s="11">
        <f>IF(Components!AC18&gt;0,PPMT(EarningsRate,1,Components!$K18,0,-Components!AC18*((1+InflationRate)^Components!$K18),0),AA18)</f>
        <v>1826.0722855042504</v>
      </c>
      <c r="AC18" s="11">
        <f>IF(Components!AD18&gt;0,PPMT(EarningsRate,1,Components!$K18,0,-Components!AD18*((1+InflationRate)^Components!$K18),0),AB18)</f>
        <v>1826.0722855042504</v>
      </c>
      <c r="AD18" s="11">
        <f>IF(Components!AE18&gt;0,PPMT(EarningsRate,1,Components!$K18,0,-Components!AE18*((1+InflationRate)^Components!$K18),0),AC18)</f>
        <v>1826.0722855042504</v>
      </c>
      <c r="AE18" s="11">
        <f>IF(Components!AF18&gt;0,PPMT(EarningsRate,1,Components!$K18,0,-Components!AF18*((1+InflationRate)^Components!$K18),0),AD18)</f>
        <v>3059.2914388138202</v>
      </c>
      <c r="AF18" s="11">
        <f>IF(Components!AG18&gt;0,PPMT(EarningsRate,1,Components!$K18,0,-Components!AG18*((1+InflationRate)^Components!$K18),0),AE18)</f>
        <v>3059.2914388138202</v>
      </c>
      <c r="AG18" s="11">
        <f>IF(Components!AH18&gt;0,PPMT(EarningsRate,1,Components!$K18,0,-Components!AH18*((1+InflationRate)^Components!$K18),0),AF18)</f>
        <v>3059.2914388138202</v>
      </c>
      <c r="AH18" s="11">
        <f>IF(Components!AI18&gt;0,PPMT(EarningsRate,1,Components!$K18,0,-Components!AI18*((1+InflationRate)^Components!$K18),0),AG18)</f>
        <v>3059.2914388138202</v>
      </c>
      <c r="AI18" s="11">
        <f>IF(Components!AJ18&gt;0,PPMT(EarningsRate,1,Components!$K18,0,-Components!AJ18*((1+InflationRate)^Components!$K18),0),AH18)</f>
        <v>3059.2914388138202</v>
      </c>
      <c r="AJ18" s="11">
        <f>IF(Components!AK18&gt;0,PPMT(EarningsRate,1,Components!$K18,0,-Components!AK18*((1+InflationRate)^Components!$K18),0),AI18)</f>
        <v>3059.2914388138202</v>
      </c>
      <c r="AK18" s="11">
        <f>IF(Components!AL18&gt;0,PPMT(EarningsRate,1,Components!$K18,0,-Components!AL18*((1+InflationRate)^Components!$K18),0),AJ18)</f>
        <v>3059.2914388138202</v>
      </c>
      <c r="AL18" s="11">
        <f>IF(Components!AM18&gt;0,PPMT(EarningsRate,1,Components!$K18,0,-Components!AM18*((1+InflationRate)^Components!$K18),0),AK18)</f>
        <v>3059.2914388138202</v>
      </c>
      <c r="AM18" s="11">
        <f>IF(Components!AN18&gt;0,PPMT(EarningsRate,1,Components!$K18,0,-Components!AN18*((1+InflationRate)^Components!$K18),0),AL18)</f>
        <v>3059.2914388138202</v>
      </c>
      <c r="AN18" s="11">
        <f>IF(Components!AO18&gt;0,PPMT(EarningsRate,1,Components!$K18,0,-Components!AO18*((1+InflationRate)^Components!$K18),0),AM18)</f>
        <v>3059.2914388138202</v>
      </c>
      <c r="AO18" s="11">
        <f>IF(Components!AP18&gt;0,PPMT(EarningsRate,1,Components!$K18,0,-Components!AP18*((1+InflationRate)^Components!$K18),0),AN18)</f>
        <v>3059.2914388138202</v>
      </c>
      <c r="AP18" s="214"/>
      <c r="AQ18" s="11">
        <f t="shared" si="1"/>
        <v>66493.11729025704</v>
      </c>
    </row>
    <row r="19" spans="1:43" s="1" customFormat="1">
      <c r="A19" s="220" t="str">
        <f>Components!B19</f>
        <v>Club HVAC</v>
      </c>
      <c r="B19" s="220" t="str">
        <f>Components!C19</f>
        <v>Boiler #2 Copper Coil</v>
      </c>
      <c r="C19" s="211"/>
      <c r="D19" s="211"/>
      <c r="E19" s="211"/>
      <c r="F19" s="88"/>
      <c r="G19" s="212"/>
      <c r="H19" s="212"/>
      <c r="I19" s="212"/>
      <c r="J19" s="211"/>
      <c r="K19" s="11">
        <f>IF('FF Balance'!H19&gt;=0,PPMT(EarningsRate,1,Components!K19,0,-'FF Balance'!G19,0),0)</f>
        <v>515.35971456666914</v>
      </c>
      <c r="L19" s="11">
        <f>IF(Components!M19&gt;0,PPMT(EarningsRate,1,Components!$K19,0,-Components!M19*((1+InflationRate)^Components!$K19),0),K19)</f>
        <v>515.35971456666914</v>
      </c>
      <c r="M19" s="11">
        <f>IF(Components!N19&gt;0,PPMT(EarningsRate,1,Components!$K19,0,-Components!N19*((1+InflationRate)^Components!$K19),0),L19)</f>
        <v>515.35971456666914</v>
      </c>
      <c r="N19" s="11">
        <f>IF(Components!O19&gt;0,PPMT(EarningsRate,1,Components!$K19,0,-Components!O19*((1+InflationRate)^Components!$K19),0),M19)</f>
        <v>515.35971456666914</v>
      </c>
      <c r="O19" s="11">
        <f>IF(Components!P19&gt;0,PPMT(EarningsRate,1,Components!$K19,0,-Components!P19*((1+InflationRate)^Components!$K19),0),N19)</f>
        <v>515.35971456666914</v>
      </c>
      <c r="P19" s="11">
        <f>IF(Components!Q19&gt;0,PPMT(EarningsRate,1,Components!$K19,0,-Components!Q19*((1+InflationRate)^Components!$K19),0),O19)</f>
        <v>515.35971456666914</v>
      </c>
      <c r="Q19" s="11">
        <f>IF(Components!R19&gt;0,PPMT(EarningsRate,1,Components!$K19,0,-Components!R19*((1+InflationRate)^Components!$K19),0),P19)</f>
        <v>515.35971456666914</v>
      </c>
      <c r="R19" s="11">
        <f>IF(Components!S19&gt;0,PPMT(EarningsRate,1,Components!$K19,0,-Components!S19*((1+InflationRate)^Components!$K19),0),Q19)</f>
        <v>515.35971456666914</v>
      </c>
      <c r="S19" s="11">
        <f>IF(Components!T19&gt;0,PPMT(EarningsRate,1,Components!$K19,0,-Components!T19*((1+InflationRate)^Components!$K19),0),R19)</f>
        <v>863.40729521603566</v>
      </c>
      <c r="T19" s="11">
        <f>IF(Components!U19&gt;0,PPMT(EarningsRate,1,Components!$K19,0,-Components!U19*((1+InflationRate)^Components!$K19),0),S19)</f>
        <v>863.40729521603566</v>
      </c>
      <c r="U19" s="11">
        <f>IF(Components!V19&gt;0,PPMT(EarningsRate,1,Components!$K19,0,-Components!V19*((1+InflationRate)^Components!$K19),0),T19)</f>
        <v>863.40729521603566</v>
      </c>
      <c r="V19" s="11">
        <f>IF(Components!W19&gt;0,PPMT(EarningsRate,1,Components!$K19,0,-Components!W19*((1+InflationRate)^Components!$K19),0),U19)</f>
        <v>863.40729521603566</v>
      </c>
      <c r="W19" s="11">
        <f>IF(Components!X19&gt;0,PPMT(EarningsRate,1,Components!$K19,0,-Components!X19*((1+InflationRate)^Components!$K19),0),V19)</f>
        <v>863.40729521603566</v>
      </c>
      <c r="X19" s="11">
        <f>IF(Components!Y19&gt;0,PPMT(EarningsRate,1,Components!$K19,0,-Components!Y19*((1+InflationRate)^Components!$K19),0),W19)</f>
        <v>863.40729521603566</v>
      </c>
      <c r="Y19" s="11">
        <f>IF(Components!Z19&gt;0,PPMT(EarningsRate,1,Components!$K19,0,-Components!Z19*((1+InflationRate)^Components!$K19),0),X19)</f>
        <v>863.40729521603566</v>
      </c>
      <c r="Z19" s="11">
        <f>IF(Components!AA19&gt;0,PPMT(EarningsRate,1,Components!$K19,0,-Components!AA19*((1+InflationRate)^Components!$K19),0),Y19)</f>
        <v>863.40729521603566</v>
      </c>
      <c r="AA19" s="11">
        <f>IF(Components!AB19&gt;0,PPMT(EarningsRate,1,Components!$K19,0,-Components!AB19*((1+InflationRate)^Components!$K19),0),Z19)</f>
        <v>863.40729521603566</v>
      </c>
      <c r="AB19" s="11">
        <f>IF(Components!AC19&gt;0,PPMT(EarningsRate,1,Components!$K19,0,-Components!AC19*((1+InflationRate)^Components!$K19),0),AA19)</f>
        <v>863.40729521603566</v>
      </c>
      <c r="AC19" s="11">
        <f>IF(Components!AD19&gt;0,PPMT(EarningsRate,1,Components!$K19,0,-Components!AD19*((1+InflationRate)^Components!$K19),0),AB19)</f>
        <v>863.40729521603566</v>
      </c>
      <c r="AD19" s="11">
        <f>IF(Components!AE19&gt;0,PPMT(EarningsRate,1,Components!$K19,0,-Components!AE19*((1+InflationRate)^Components!$K19),0),AC19)</f>
        <v>863.40729521603566</v>
      </c>
      <c r="AE19" s="11">
        <f>IF(Components!AF19&gt;0,PPMT(EarningsRate,1,Components!$K19,0,-Components!AF19*((1+InflationRate)^Components!$K19),0),AD19)</f>
        <v>863.40729521603566</v>
      </c>
      <c r="AF19" s="11">
        <f>IF(Components!AG19&gt;0,PPMT(EarningsRate,1,Components!$K19,0,-Components!AG19*((1+InflationRate)^Components!$K19),0),AE19)</f>
        <v>863.40729521603566</v>
      </c>
      <c r="AG19" s="11">
        <f>IF(Components!AH19&gt;0,PPMT(EarningsRate,1,Components!$K19,0,-Components!AH19*((1+InflationRate)^Components!$K19),0),AF19)</f>
        <v>863.40729521603566</v>
      </c>
      <c r="AH19" s="11">
        <f>IF(Components!AI19&gt;0,PPMT(EarningsRate,1,Components!$K19,0,-Components!AI19*((1+InflationRate)^Components!$K19),0),AG19)</f>
        <v>1446.5462537650862</v>
      </c>
      <c r="AI19" s="11">
        <f>IF(Components!AJ19&gt;0,PPMT(EarningsRate,1,Components!$K19,0,-Components!AJ19*((1+InflationRate)^Components!$K19),0),AH19)</f>
        <v>1446.5462537650862</v>
      </c>
      <c r="AJ19" s="11">
        <f>IF(Components!AK19&gt;0,PPMT(EarningsRate,1,Components!$K19,0,-Components!AK19*((1+InflationRate)^Components!$K19),0),AI19)</f>
        <v>1446.5462537650862</v>
      </c>
      <c r="AK19" s="11">
        <f>IF(Components!AL19&gt;0,PPMT(EarningsRate,1,Components!$K19,0,-Components!AL19*((1+InflationRate)^Components!$K19),0),AJ19)</f>
        <v>1446.5462537650862</v>
      </c>
      <c r="AL19" s="11">
        <f>IF(Components!AM19&gt;0,PPMT(EarningsRate,1,Components!$K19,0,-Components!AM19*((1+InflationRate)^Components!$K19),0),AK19)</f>
        <v>1446.5462537650862</v>
      </c>
      <c r="AM19" s="11">
        <f>IF(Components!AN19&gt;0,PPMT(EarningsRate,1,Components!$K19,0,-Components!AN19*((1+InflationRate)^Components!$K19),0),AL19)</f>
        <v>1446.5462537650862</v>
      </c>
      <c r="AN19" s="11">
        <f>IF(Components!AO19&gt;0,PPMT(EarningsRate,1,Components!$K19,0,-Components!AO19*((1+InflationRate)^Components!$K19),0),AM19)</f>
        <v>1446.5462537650862</v>
      </c>
      <c r="AO19" s="11">
        <f>IF(Components!AP19&gt;0,PPMT(EarningsRate,1,Components!$K19,0,-Components!AP19*((1+InflationRate)^Components!$K19),0),AN19)</f>
        <v>1446.5462537650862</v>
      </c>
      <c r="AP19" s="214"/>
      <c r="AQ19" s="11">
        <f t="shared" si="1"/>
        <v>28646.35727489457</v>
      </c>
    </row>
    <row r="20" spans="1:43" s="1" customFormat="1">
      <c r="A20" s="220" t="str">
        <f>Components!B20</f>
        <v>Club HVAC</v>
      </c>
      <c r="B20" s="220" t="str">
        <f>Components!C20</f>
        <v>Boiler Unit #1 Rendezvous</v>
      </c>
      <c r="C20" s="211"/>
      <c r="D20" s="211"/>
      <c r="E20" s="211"/>
      <c r="F20" s="88"/>
      <c r="G20" s="212"/>
      <c r="H20" s="212"/>
      <c r="I20" s="212"/>
      <c r="J20" s="211"/>
      <c r="K20" s="11">
        <f>IF('FF Balance'!H20&gt;=0,PPMT(EarningsRate,1,Components!K20,0,-'FF Balance'!G20,0),0)</f>
        <v>2404.5144574925221</v>
      </c>
      <c r="L20" s="11">
        <f>IF(Components!M20&gt;0,PPMT(EarningsRate,1,Components!$K20,0,-Components!M20*((1+InflationRate)^Components!$K20),0),K20)</f>
        <v>2404.5144574925221</v>
      </c>
      <c r="M20" s="11">
        <f>IF(Components!N20&gt;0,PPMT(EarningsRate,1,Components!$K20,0,-Components!N20*((1+InflationRate)^Components!$K20),0),L20)</f>
        <v>2404.5144574925221</v>
      </c>
      <c r="N20" s="11">
        <f>IF(Components!O20&gt;0,PPMT(EarningsRate,1,Components!$K20,0,-Components!O20*((1+InflationRate)^Components!$K20),0),M20)</f>
        <v>2404.5144574925221</v>
      </c>
      <c r="O20" s="11">
        <f>IF(Components!P20&gt;0,PPMT(EarningsRate,1,Components!$K20,0,-Components!P20*((1+InflationRate)^Components!$K20),0),N20)</f>
        <v>2404.5144574925221</v>
      </c>
      <c r="P20" s="11">
        <f>IF(Components!Q20&gt;0,PPMT(EarningsRate,1,Components!$K20,0,-Components!Q20*((1+InflationRate)^Components!$K20),0),O20)</f>
        <v>2404.5144574925221</v>
      </c>
      <c r="Q20" s="11">
        <f>IF(Components!R20&gt;0,PPMT(EarningsRate,1,Components!$K20,0,-Components!R20*((1+InflationRate)^Components!$K20),0),P20)</f>
        <v>2404.5144574925221</v>
      </c>
      <c r="R20" s="11">
        <f>IF(Components!S20&gt;0,PPMT(EarningsRate,1,Components!$K20,0,-Components!S20*((1+InflationRate)^Components!$K20),0),Q20)</f>
        <v>2404.5144574925221</v>
      </c>
      <c r="S20" s="11">
        <f>IF(Components!T20&gt;0,PPMT(EarningsRate,1,Components!$K20,0,-Components!T20*((1+InflationRate)^Components!$K20),0),R20)</f>
        <v>4028.4004848867603</v>
      </c>
      <c r="T20" s="11">
        <f>IF(Components!U20&gt;0,PPMT(EarningsRate,1,Components!$K20,0,-Components!U20*((1+InflationRate)^Components!$K20),0),S20)</f>
        <v>4028.4004848867603</v>
      </c>
      <c r="U20" s="11">
        <f>IF(Components!V20&gt;0,PPMT(EarningsRate,1,Components!$K20,0,-Components!V20*((1+InflationRate)^Components!$K20),0),T20)</f>
        <v>4028.4004848867603</v>
      </c>
      <c r="V20" s="11">
        <f>IF(Components!W20&gt;0,PPMT(EarningsRate,1,Components!$K20,0,-Components!W20*((1+InflationRate)^Components!$K20),0),U20)</f>
        <v>4028.4004848867603</v>
      </c>
      <c r="W20" s="11">
        <f>IF(Components!X20&gt;0,PPMT(EarningsRate,1,Components!$K20,0,-Components!X20*((1+InflationRate)^Components!$K20),0),V20)</f>
        <v>4028.4004848867603</v>
      </c>
      <c r="X20" s="11">
        <f>IF(Components!Y20&gt;0,PPMT(EarningsRate,1,Components!$K20,0,-Components!Y20*((1+InflationRate)^Components!$K20),0),W20)</f>
        <v>4028.4004848867603</v>
      </c>
      <c r="Y20" s="11">
        <f>IF(Components!Z20&gt;0,PPMT(EarningsRate,1,Components!$K20,0,-Components!Z20*((1+InflationRate)^Components!$K20),0),X20)</f>
        <v>4028.4004848867603</v>
      </c>
      <c r="Z20" s="11">
        <f>IF(Components!AA20&gt;0,PPMT(EarningsRate,1,Components!$K20,0,-Components!AA20*((1+InflationRate)^Components!$K20),0),Y20)</f>
        <v>4028.4004848867603</v>
      </c>
      <c r="AA20" s="11">
        <f>IF(Components!AB20&gt;0,PPMT(EarningsRate,1,Components!$K20,0,-Components!AB20*((1+InflationRate)^Components!$K20),0),Z20)</f>
        <v>4028.4004848867603</v>
      </c>
      <c r="AB20" s="11">
        <f>IF(Components!AC20&gt;0,PPMT(EarningsRate,1,Components!$K20,0,-Components!AC20*((1+InflationRate)^Components!$K20),0),AA20)</f>
        <v>4028.4004848867603</v>
      </c>
      <c r="AC20" s="11">
        <f>IF(Components!AD20&gt;0,PPMT(EarningsRate,1,Components!$K20,0,-Components!AD20*((1+InflationRate)^Components!$K20),0),AB20)</f>
        <v>4028.4004848867603</v>
      </c>
      <c r="AD20" s="11">
        <f>IF(Components!AE20&gt;0,PPMT(EarningsRate,1,Components!$K20,0,-Components!AE20*((1+InflationRate)^Components!$K20),0),AC20)</f>
        <v>4028.4004848867603</v>
      </c>
      <c r="AE20" s="11">
        <f>IF(Components!AF20&gt;0,PPMT(EarningsRate,1,Components!$K20,0,-Components!AF20*((1+InflationRate)^Components!$K20),0),AD20)</f>
        <v>4028.4004848867603</v>
      </c>
      <c r="AF20" s="11">
        <f>IF(Components!AG20&gt;0,PPMT(EarningsRate,1,Components!$K20,0,-Components!AG20*((1+InflationRate)^Components!$K20),0),AE20)</f>
        <v>4028.4004848867603</v>
      </c>
      <c r="AG20" s="11">
        <f>IF(Components!AH20&gt;0,PPMT(EarningsRate,1,Components!$K20,0,-Components!AH20*((1+InflationRate)^Components!$K20),0),AF20)</f>
        <v>4028.4004848867603</v>
      </c>
      <c r="AH20" s="11">
        <f>IF(Components!AI20&gt;0,PPMT(EarningsRate,1,Components!$K20,0,-Components!AI20*((1+InflationRate)^Components!$K20),0),AG20)</f>
        <v>6748.9461852856448</v>
      </c>
      <c r="AI20" s="11">
        <f>IF(Components!AJ20&gt;0,PPMT(EarningsRate,1,Components!$K20,0,-Components!AJ20*((1+InflationRate)^Components!$K20),0),AH20)</f>
        <v>6748.9461852856448</v>
      </c>
      <c r="AJ20" s="11">
        <f>IF(Components!AK20&gt;0,PPMT(EarningsRate,1,Components!$K20,0,-Components!AK20*((1+InflationRate)^Components!$K20),0),AI20)</f>
        <v>6748.9461852856448</v>
      </c>
      <c r="AK20" s="11">
        <f>IF(Components!AL20&gt;0,PPMT(EarningsRate,1,Components!$K20,0,-Components!AL20*((1+InflationRate)^Components!$K20),0),AJ20)</f>
        <v>6748.9461852856448</v>
      </c>
      <c r="AL20" s="11">
        <f>IF(Components!AM20&gt;0,PPMT(EarningsRate,1,Components!$K20,0,-Components!AM20*((1+InflationRate)^Components!$K20),0),AK20)</f>
        <v>6748.9461852856448</v>
      </c>
      <c r="AM20" s="11">
        <f>IF(Components!AN20&gt;0,PPMT(EarningsRate,1,Components!$K20,0,-Components!AN20*((1+InflationRate)^Components!$K20),0),AL20)</f>
        <v>6748.9461852856448</v>
      </c>
      <c r="AN20" s="11">
        <f>IF(Components!AO20&gt;0,PPMT(EarningsRate,1,Components!$K20,0,-Components!AO20*((1+InflationRate)^Components!$K20),0),AM20)</f>
        <v>6748.9461852856448</v>
      </c>
      <c r="AO20" s="11">
        <f>IF(Components!AP20&gt;0,PPMT(EarningsRate,1,Components!$K20,0,-Components!AP20*((1+InflationRate)^Components!$K20),0),AN20)</f>
        <v>6748.9461852856448</v>
      </c>
      <c r="AP20" s="214"/>
      <c r="AQ20" s="11">
        <f t="shared" si="1"/>
        <v>133653.69251552678</v>
      </c>
    </row>
    <row r="21" spans="1:43" s="1" customFormat="1">
      <c r="A21" s="220" t="str">
        <f>Components!B21</f>
        <v>Club HVAC</v>
      </c>
      <c r="B21" s="220" t="str">
        <f>Components!C21</f>
        <v>Boiler Unit #2 Clubhouse</v>
      </c>
      <c r="C21" s="211"/>
      <c r="D21" s="211"/>
      <c r="E21" s="211"/>
      <c r="F21" s="88"/>
      <c r="G21" s="212"/>
      <c r="H21" s="212"/>
      <c r="I21" s="212"/>
      <c r="J21" s="211"/>
      <c r="K21" s="11">
        <f>IF('FF Balance'!H21&gt;=0,PPMT(EarningsRate,1,Components!K21,0,-'FF Balance'!G21,0),0)</f>
        <v>2404.5144574925221</v>
      </c>
      <c r="L21" s="11">
        <f>IF(Components!M21&gt;0,PPMT(EarningsRate,1,Components!$K21,0,-Components!M21*((1+InflationRate)^Components!$K21),0),K21)</f>
        <v>2404.5144574925221</v>
      </c>
      <c r="M21" s="11">
        <f>IF(Components!N21&gt;0,PPMT(EarningsRate,1,Components!$K21,0,-Components!N21*((1+InflationRate)^Components!$K21),0),L21)</f>
        <v>2404.5144574925221</v>
      </c>
      <c r="N21" s="11">
        <f>IF(Components!O21&gt;0,PPMT(EarningsRate,1,Components!$K21,0,-Components!O21*((1+InflationRate)^Components!$K21),0),M21)</f>
        <v>2404.5144574925221</v>
      </c>
      <c r="O21" s="11">
        <f>IF(Components!P21&gt;0,PPMT(EarningsRate,1,Components!$K21,0,-Components!P21*((1+InflationRate)^Components!$K21),0),N21)</f>
        <v>2404.5144574925221</v>
      </c>
      <c r="P21" s="11">
        <f>IF(Components!Q21&gt;0,PPMT(EarningsRate,1,Components!$K21,0,-Components!Q21*((1+InflationRate)^Components!$K21),0),O21)</f>
        <v>2404.5144574925221</v>
      </c>
      <c r="Q21" s="11">
        <f>IF(Components!R21&gt;0,PPMT(EarningsRate,1,Components!$K21,0,-Components!R21*((1+InflationRate)^Components!$K21),0),P21)</f>
        <v>2404.5144574925221</v>
      </c>
      <c r="R21" s="11">
        <f>IF(Components!S21&gt;0,PPMT(EarningsRate,1,Components!$K21,0,-Components!S21*((1+InflationRate)^Components!$K21),0),Q21)</f>
        <v>2404.5144574925221</v>
      </c>
      <c r="S21" s="11">
        <f>IF(Components!T21&gt;0,PPMT(EarningsRate,1,Components!$K21,0,-Components!T21*((1+InflationRate)^Components!$K21),0),R21)</f>
        <v>4028.4004848867603</v>
      </c>
      <c r="T21" s="11">
        <f>IF(Components!U21&gt;0,PPMT(EarningsRate,1,Components!$K21,0,-Components!U21*((1+InflationRate)^Components!$K21),0),S21)</f>
        <v>4028.4004848867603</v>
      </c>
      <c r="U21" s="11">
        <f>IF(Components!V21&gt;0,PPMT(EarningsRate,1,Components!$K21,0,-Components!V21*((1+InflationRate)^Components!$K21),0),T21)</f>
        <v>4028.4004848867603</v>
      </c>
      <c r="V21" s="11">
        <f>IF(Components!W21&gt;0,PPMT(EarningsRate,1,Components!$K21,0,-Components!W21*((1+InflationRate)^Components!$K21),0),U21)</f>
        <v>4028.4004848867603</v>
      </c>
      <c r="W21" s="11">
        <f>IF(Components!X21&gt;0,PPMT(EarningsRate,1,Components!$K21,0,-Components!X21*((1+InflationRate)^Components!$K21),0),V21)</f>
        <v>4028.4004848867603</v>
      </c>
      <c r="X21" s="11">
        <f>IF(Components!Y21&gt;0,PPMT(EarningsRate,1,Components!$K21,0,-Components!Y21*((1+InflationRate)^Components!$K21),0),W21)</f>
        <v>4028.4004848867603</v>
      </c>
      <c r="Y21" s="11">
        <f>IF(Components!Z21&gt;0,PPMT(EarningsRate,1,Components!$K21,0,-Components!Z21*((1+InflationRate)^Components!$K21),0),X21)</f>
        <v>4028.4004848867603</v>
      </c>
      <c r="Z21" s="11">
        <f>IF(Components!AA21&gt;0,PPMT(EarningsRate,1,Components!$K21,0,-Components!AA21*((1+InflationRate)^Components!$K21),0),Y21)</f>
        <v>4028.4004848867603</v>
      </c>
      <c r="AA21" s="11">
        <f>IF(Components!AB21&gt;0,PPMT(EarningsRate,1,Components!$K21,0,-Components!AB21*((1+InflationRate)^Components!$K21),0),Z21)</f>
        <v>4028.4004848867603</v>
      </c>
      <c r="AB21" s="11">
        <f>IF(Components!AC21&gt;0,PPMT(EarningsRate,1,Components!$K21,0,-Components!AC21*((1+InflationRate)^Components!$K21),0),AA21)</f>
        <v>4028.4004848867603</v>
      </c>
      <c r="AC21" s="11">
        <f>IF(Components!AD21&gt;0,PPMT(EarningsRate,1,Components!$K21,0,-Components!AD21*((1+InflationRate)^Components!$K21),0),AB21)</f>
        <v>4028.4004848867603</v>
      </c>
      <c r="AD21" s="11">
        <f>IF(Components!AE21&gt;0,PPMT(EarningsRate,1,Components!$K21,0,-Components!AE21*((1+InflationRate)^Components!$K21),0),AC21)</f>
        <v>4028.4004848867603</v>
      </c>
      <c r="AE21" s="11">
        <f>IF(Components!AF21&gt;0,PPMT(EarningsRate,1,Components!$K21,0,-Components!AF21*((1+InflationRate)^Components!$K21),0),AD21)</f>
        <v>4028.4004848867603</v>
      </c>
      <c r="AF21" s="11">
        <f>IF(Components!AG21&gt;0,PPMT(EarningsRate,1,Components!$K21,0,-Components!AG21*((1+InflationRate)^Components!$K21),0),AE21)</f>
        <v>4028.4004848867603</v>
      </c>
      <c r="AG21" s="11">
        <f>IF(Components!AH21&gt;0,PPMT(EarningsRate,1,Components!$K21,0,-Components!AH21*((1+InflationRate)^Components!$K21),0),AF21)</f>
        <v>4028.4004848867603</v>
      </c>
      <c r="AH21" s="11">
        <f>IF(Components!AI21&gt;0,PPMT(EarningsRate,1,Components!$K21,0,-Components!AI21*((1+InflationRate)^Components!$K21),0),AG21)</f>
        <v>6748.9461852856448</v>
      </c>
      <c r="AI21" s="11">
        <f>IF(Components!AJ21&gt;0,PPMT(EarningsRate,1,Components!$K21,0,-Components!AJ21*((1+InflationRate)^Components!$K21),0),AH21)</f>
        <v>6748.9461852856448</v>
      </c>
      <c r="AJ21" s="11">
        <f>IF(Components!AK21&gt;0,PPMT(EarningsRate,1,Components!$K21,0,-Components!AK21*((1+InflationRate)^Components!$K21),0),AI21)</f>
        <v>6748.9461852856448</v>
      </c>
      <c r="AK21" s="11">
        <f>IF(Components!AL21&gt;0,PPMT(EarningsRate,1,Components!$K21,0,-Components!AL21*((1+InflationRate)^Components!$K21),0),AJ21)</f>
        <v>6748.9461852856448</v>
      </c>
      <c r="AL21" s="11">
        <f>IF(Components!AM21&gt;0,PPMT(EarningsRate,1,Components!$K21,0,-Components!AM21*((1+InflationRate)^Components!$K21),0),AK21)</f>
        <v>6748.9461852856448</v>
      </c>
      <c r="AM21" s="11">
        <f>IF(Components!AN21&gt;0,PPMT(EarningsRate,1,Components!$K21,0,-Components!AN21*((1+InflationRate)^Components!$K21),0),AL21)</f>
        <v>6748.9461852856448</v>
      </c>
      <c r="AN21" s="11">
        <f>IF(Components!AO21&gt;0,PPMT(EarningsRate,1,Components!$K21,0,-Components!AO21*((1+InflationRate)^Components!$K21),0),AM21)</f>
        <v>6748.9461852856448</v>
      </c>
      <c r="AO21" s="11">
        <f>IF(Components!AP21&gt;0,PPMT(EarningsRate,1,Components!$K21,0,-Components!AP21*((1+InflationRate)^Components!$K21),0),AN21)</f>
        <v>6748.9461852856448</v>
      </c>
      <c r="AP21" s="214"/>
      <c r="AQ21" s="11">
        <f t="shared" si="1"/>
        <v>133653.69251552678</v>
      </c>
    </row>
    <row r="22" spans="1:43" s="1" customFormat="1">
      <c r="A22" s="220" t="str">
        <f>Components!B22</f>
        <v>Club HVAC</v>
      </c>
      <c r="B22" s="220" t="str">
        <f>Components!C22</f>
        <v>Return Air Unit - #1</v>
      </c>
      <c r="C22" s="211"/>
      <c r="D22" s="211"/>
      <c r="E22" s="211"/>
      <c r="F22" s="88"/>
      <c r="G22" s="212"/>
      <c r="H22" s="212"/>
      <c r="I22" s="212"/>
      <c r="J22" s="211"/>
      <c r="K22" s="11">
        <f>IF('FF Balance'!H22&gt;=0,PPMT(EarningsRate,1,Components!K22,0,-'FF Balance'!G22,0),0)</f>
        <v>7141.3803824797606</v>
      </c>
      <c r="L22" s="11">
        <f>IF(Components!M22&gt;0,PPMT(EarningsRate,1,Components!$K22,0,-Components!M22*((1+InflationRate)^Components!$K22),0),K22)</f>
        <v>7141.3803824797606</v>
      </c>
      <c r="M22" s="11">
        <f>IF(Components!N22&gt;0,PPMT(EarningsRate,1,Components!$K22,0,-Components!N22*((1+InflationRate)^Components!$K22),0),L22)</f>
        <v>7141.3803824797606</v>
      </c>
      <c r="N22" s="11">
        <f>IF(Components!O22&gt;0,PPMT(EarningsRate,1,Components!$K22,0,-Components!O22*((1+InflationRate)^Components!$K22),0),M22)</f>
        <v>7141.3803824797606</v>
      </c>
      <c r="O22" s="11">
        <f>IF(Components!P22&gt;0,PPMT(EarningsRate,1,Components!$K22,0,-Components!P22*((1+InflationRate)^Components!$K22),0),N22)</f>
        <v>7141.3803824797606</v>
      </c>
      <c r="P22" s="11">
        <f>IF(Components!Q22&gt;0,PPMT(EarningsRate,1,Components!$K22,0,-Components!Q22*((1+InflationRate)^Components!$K22),0),O22)</f>
        <v>7141.3803824797606</v>
      </c>
      <c r="Q22" s="11">
        <f>IF(Components!R22&gt;0,PPMT(EarningsRate,1,Components!$K22,0,-Components!R22*((1+InflationRate)^Components!$K22),0),P22)</f>
        <v>7141.3803824797606</v>
      </c>
      <c r="R22" s="11">
        <f>IF(Components!S22&gt;0,PPMT(EarningsRate,1,Components!$K22,0,-Components!S22*((1+InflationRate)^Components!$K22),0),Q22)</f>
        <v>7141.3803824797606</v>
      </c>
      <c r="S22" s="11">
        <f>IF(Components!T22&gt;0,PPMT(EarningsRate,1,Components!$K22,0,-Components!T22*((1+InflationRate)^Components!$K22),0),R22)</f>
        <v>11964.303273743875</v>
      </c>
      <c r="T22" s="11">
        <f>IF(Components!U22&gt;0,PPMT(EarningsRate,1,Components!$K22,0,-Components!U22*((1+InflationRate)^Components!$K22),0),S22)</f>
        <v>11964.303273743875</v>
      </c>
      <c r="U22" s="11">
        <f>IF(Components!V22&gt;0,PPMT(EarningsRate,1,Components!$K22,0,-Components!V22*((1+InflationRate)^Components!$K22),0),T22)</f>
        <v>11964.303273743875</v>
      </c>
      <c r="V22" s="11">
        <f>IF(Components!W22&gt;0,PPMT(EarningsRate,1,Components!$K22,0,-Components!W22*((1+InflationRate)^Components!$K22),0),U22)</f>
        <v>11964.303273743875</v>
      </c>
      <c r="W22" s="11">
        <f>IF(Components!X22&gt;0,PPMT(EarningsRate,1,Components!$K22,0,-Components!X22*((1+InflationRate)^Components!$K22),0),V22)</f>
        <v>11964.303273743875</v>
      </c>
      <c r="X22" s="11">
        <f>IF(Components!Y22&gt;0,PPMT(EarningsRate,1,Components!$K22,0,-Components!Y22*((1+InflationRate)^Components!$K22),0),W22)</f>
        <v>11964.303273743875</v>
      </c>
      <c r="Y22" s="11">
        <f>IF(Components!Z22&gt;0,PPMT(EarningsRate,1,Components!$K22,0,-Components!Z22*((1+InflationRate)^Components!$K22),0),X22)</f>
        <v>11964.303273743875</v>
      </c>
      <c r="Z22" s="11">
        <f>IF(Components!AA22&gt;0,PPMT(EarningsRate,1,Components!$K22,0,-Components!AA22*((1+InflationRate)^Components!$K22),0),Y22)</f>
        <v>11964.303273743875</v>
      </c>
      <c r="AA22" s="11">
        <f>IF(Components!AB22&gt;0,PPMT(EarningsRate,1,Components!$K22,0,-Components!AB22*((1+InflationRate)^Components!$K22),0),Z22)</f>
        <v>11964.303273743875</v>
      </c>
      <c r="AB22" s="11">
        <f>IF(Components!AC22&gt;0,PPMT(EarningsRate,1,Components!$K22,0,-Components!AC22*((1+InflationRate)^Components!$K22),0),AA22)</f>
        <v>11964.303273743875</v>
      </c>
      <c r="AC22" s="11">
        <f>IF(Components!AD22&gt;0,PPMT(EarningsRate,1,Components!$K22,0,-Components!AD22*((1+InflationRate)^Components!$K22),0),AB22)</f>
        <v>11964.303273743875</v>
      </c>
      <c r="AD22" s="11">
        <f>IF(Components!AE22&gt;0,PPMT(EarningsRate,1,Components!$K22,0,-Components!AE22*((1+InflationRate)^Components!$K22),0),AC22)</f>
        <v>11964.303273743875</v>
      </c>
      <c r="AE22" s="11">
        <f>IF(Components!AF22&gt;0,PPMT(EarningsRate,1,Components!$K22,0,-Components!AF22*((1+InflationRate)^Components!$K22),0),AD22)</f>
        <v>11964.303273743875</v>
      </c>
      <c r="AF22" s="11">
        <f>IF(Components!AG22&gt;0,PPMT(EarningsRate,1,Components!$K22,0,-Components!AG22*((1+InflationRate)^Components!$K22),0),AE22)</f>
        <v>11964.303273743875</v>
      </c>
      <c r="AG22" s="11">
        <f>IF(Components!AH22&gt;0,PPMT(EarningsRate,1,Components!$K22,0,-Components!AH22*((1+InflationRate)^Components!$K22),0),AF22)</f>
        <v>11964.303273743875</v>
      </c>
      <c r="AH22" s="11">
        <f>IF(Components!AI22&gt;0,PPMT(EarningsRate,1,Components!$K22,0,-Components!AI22*((1+InflationRate)^Components!$K22),0),AG22)</f>
        <v>20044.283608354988</v>
      </c>
      <c r="AI22" s="11">
        <f>IF(Components!AJ22&gt;0,PPMT(EarningsRate,1,Components!$K22,0,-Components!AJ22*((1+InflationRate)^Components!$K22),0),AH22)</f>
        <v>20044.283608354988</v>
      </c>
      <c r="AJ22" s="11">
        <f>IF(Components!AK22&gt;0,PPMT(EarningsRate,1,Components!$K22,0,-Components!AK22*((1+InflationRate)^Components!$K22),0),AI22)</f>
        <v>20044.283608354988</v>
      </c>
      <c r="AK22" s="11">
        <f>IF(Components!AL22&gt;0,PPMT(EarningsRate,1,Components!$K22,0,-Components!AL22*((1+InflationRate)^Components!$K22),0),AJ22)</f>
        <v>20044.283608354988</v>
      </c>
      <c r="AL22" s="11">
        <f>IF(Components!AM22&gt;0,PPMT(EarningsRate,1,Components!$K22,0,-Components!AM22*((1+InflationRate)^Components!$K22),0),AK22)</f>
        <v>20044.283608354988</v>
      </c>
      <c r="AM22" s="11">
        <f>IF(Components!AN22&gt;0,PPMT(EarningsRate,1,Components!$K22,0,-Components!AN22*((1+InflationRate)^Components!$K22),0),AL22)</f>
        <v>20044.283608354988</v>
      </c>
      <c r="AN22" s="11">
        <f>IF(Components!AO22&gt;0,PPMT(EarningsRate,1,Components!$K22,0,-Components!AO22*((1+InflationRate)^Components!$K22),0),AM22)</f>
        <v>20044.283608354988</v>
      </c>
      <c r="AO22" s="11">
        <f>IF(Components!AP22&gt;0,PPMT(EarningsRate,1,Components!$K22,0,-Components!AP22*((1+InflationRate)^Components!$K22),0),AN22)</f>
        <v>20044.283608354988</v>
      </c>
      <c r="AP22" s="214"/>
      <c r="AQ22" s="11">
        <f t="shared" si="1"/>
        <v>396949.86113283597</v>
      </c>
    </row>
    <row r="23" spans="1:43" s="1" customFormat="1">
      <c r="A23" s="220" t="str">
        <f>Components!B23</f>
        <v>Club HVAC</v>
      </c>
      <c r="B23" s="220" t="str">
        <f>Components!C23</f>
        <v>Return Air Unit - #2</v>
      </c>
      <c r="C23" s="211"/>
      <c r="D23" s="211"/>
      <c r="E23" s="211"/>
      <c r="F23" s="88"/>
      <c r="G23" s="212"/>
      <c r="H23" s="212"/>
      <c r="I23" s="212"/>
      <c r="J23" s="211"/>
      <c r="K23" s="11">
        <f>IF('FF Balance'!H23&gt;=0,PPMT(EarningsRate,1,Components!K23,0,-'FF Balance'!G23,0),0)</f>
        <v>2576.4541194204685</v>
      </c>
      <c r="L23" s="11">
        <f>IF(Components!M23&gt;0,PPMT(EarningsRate,1,Components!$K23,0,-Components!M23*((1+InflationRate)^Components!$K23),0),K23)</f>
        <v>2576.4541194204685</v>
      </c>
      <c r="M23" s="11">
        <f>IF(Components!N23&gt;0,PPMT(EarningsRate,1,Components!$K23,0,-Components!N23*((1+InflationRate)^Components!$K23),0),L23)</f>
        <v>2576.4541194204685</v>
      </c>
      <c r="N23" s="11">
        <f>IF(Components!O23&gt;0,PPMT(EarningsRate,1,Components!$K23,0,-Components!O23*((1+InflationRate)^Components!$K23),0),M23)</f>
        <v>2576.4541194204685</v>
      </c>
      <c r="O23" s="11">
        <f>IF(Components!P23&gt;0,PPMT(EarningsRate,1,Components!$K23,0,-Components!P23*((1+InflationRate)^Components!$K23),0),N23)</f>
        <v>2576.4541194204685</v>
      </c>
      <c r="P23" s="11">
        <f>IF(Components!Q23&gt;0,PPMT(EarningsRate,1,Components!$K23,0,-Components!Q23*((1+InflationRate)^Components!$K23),0),O23)</f>
        <v>2576.4541194204685</v>
      </c>
      <c r="Q23" s="11">
        <f>IF(Components!R23&gt;0,PPMT(EarningsRate,1,Components!$K23,0,-Components!R23*((1+InflationRate)^Components!$K23),0),P23)</f>
        <v>2576.4541194204685</v>
      </c>
      <c r="R23" s="11">
        <f>IF(Components!S23&gt;0,PPMT(EarningsRate,1,Components!$K23,0,-Components!S23*((1+InflationRate)^Components!$K23),0),Q23)</f>
        <v>2576.4541194204685</v>
      </c>
      <c r="S23" s="11">
        <f>IF(Components!T23&gt;0,PPMT(EarningsRate,1,Components!$K23,0,-Components!T23*((1+InflationRate)^Components!$K23),0),R23)</f>
        <v>4316.4593964576661</v>
      </c>
      <c r="T23" s="11">
        <f>IF(Components!U23&gt;0,PPMT(EarningsRate,1,Components!$K23,0,-Components!U23*((1+InflationRate)^Components!$K23),0),S23)</f>
        <v>4316.4593964576661</v>
      </c>
      <c r="U23" s="11">
        <f>IF(Components!V23&gt;0,PPMT(EarningsRate,1,Components!$K23,0,-Components!V23*((1+InflationRate)^Components!$K23),0),T23)</f>
        <v>4316.4593964576661</v>
      </c>
      <c r="V23" s="11">
        <f>IF(Components!W23&gt;0,PPMT(EarningsRate,1,Components!$K23,0,-Components!W23*((1+InflationRate)^Components!$K23),0),U23)</f>
        <v>4316.4593964576661</v>
      </c>
      <c r="W23" s="11">
        <f>IF(Components!X23&gt;0,PPMT(EarningsRate,1,Components!$K23,0,-Components!X23*((1+InflationRate)^Components!$K23),0),V23)</f>
        <v>4316.4593964576661</v>
      </c>
      <c r="X23" s="11">
        <f>IF(Components!Y23&gt;0,PPMT(EarningsRate,1,Components!$K23,0,-Components!Y23*((1+InflationRate)^Components!$K23),0),W23)</f>
        <v>4316.4593964576661</v>
      </c>
      <c r="Y23" s="11">
        <f>IF(Components!Z23&gt;0,PPMT(EarningsRate,1,Components!$K23,0,-Components!Z23*((1+InflationRate)^Components!$K23),0),X23)</f>
        <v>4316.4593964576661</v>
      </c>
      <c r="Z23" s="11">
        <f>IF(Components!AA23&gt;0,PPMT(EarningsRate,1,Components!$K23,0,-Components!AA23*((1+InflationRate)^Components!$K23),0),Y23)</f>
        <v>4316.4593964576661</v>
      </c>
      <c r="AA23" s="11">
        <f>IF(Components!AB23&gt;0,PPMT(EarningsRate,1,Components!$K23,0,-Components!AB23*((1+InflationRate)^Components!$K23),0),Z23)</f>
        <v>4316.4593964576661</v>
      </c>
      <c r="AB23" s="11">
        <f>IF(Components!AC23&gt;0,PPMT(EarningsRate,1,Components!$K23,0,-Components!AC23*((1+InflationRate)^Components!$K23),0),AA23)</f>
        <v>4316.4593964576661</v>
      </c>
      <c r="AC23" s="11">
        <f>IF(Components!AD23&gt;0,PPMT(EarningsRate,1,Components!$K23,0,-Components!AD23*((1+InflationRate)^Components!$K23),0),AB23)</f>
        <v>4316.4593964576661</v>
      </c>
      <c r="AD23" s="11">
        <f>IF(Components!AE23&gt;0,PPMT(EarningsRate,1,Components!$K23,0,-Components!AE23*((1+InflationRate)^Components!$K23),0),AC23)</f>
        <v>4316.4593964576661</v>
      </c>
      <c r="AE23" s="11">
        <f>IF(Components!AF23&gt;0,PPMT(EarningsRate,1,Components!$K23,0,-Components!AF23*((1+InflationRate)^Components!$K23),0),AD23)</f>
        <v>4316.4593964576661</v>
      </c>
      <c r="AF23" s="11">
        <f>IF(Components!AG23&gt;0,PPMT(EarningsRate,1,Components!$K23,0,-Components!AG23*((1+InflationRate)^Components!$K23),0),AE23)</f>
        <v>4316.4593964576661</v>
      </c>
      <c r="AG23" s="11">
        <f>IF(Components!AH23&gt;0,PPMT(EarningsRate,1,Components!$K23,0,-Components!AH23*((1+InflationRate)^Components!$K23),0),AF23)</f>
        <v>4316.4593964576661</v>
      </c>
      <c r="AH23" s="11">
        <f>IF(Components!AI23&gt;0,PPMT(EarningsRate,1,Components!$K23,0,-Components!AI23*((1+InflationRate)^Components!$K23),0),AG23)</f>
        <v>7231.5771095804057</v>
      </c>
      <c r="AI23" s="11">
        <f>IF(Components!AJ23&gt;0,PPMT(EarningsRate,1,Components!$K23,0,-Components!AJ23*((1+InflationRate)^Components!$K23),0),AH23)</f>
        <v>7231.5771095804057</v>
      </c>
      <c r="AJ23" s="11">
        <f>IF(Components!AK23&gt;0,PPMT(EarningsRate,1,Components!$K23,0,-Components!AK23*((1+InflationRate)^Components!$K23),0),AI23)</f>
        <v>7231.5771095804057</v>
      </c>
      <c r="AK23" s="11">
        <f>IF(Components!AL23&gt;0,PPMT(EarningsRate,1,Components!$K23,0,-Components!AL23*((1+InflationRate)^Components!$K23),0),AJ23)</f>
        <v>7231.5771095804057</v>
      </c>
      <c r="AL23" s="11">
        <f>IF(Components!AM23&gt;0,PPMT(EarningsRate,1,Components!$K23,0,-Components!AM23*((1+InflationRate)^Components!$K23),0),AK23)</f>
        <v>7231.5771095804057</v>
      </c>
      <c r="AM23" s="11">
        <f>IF(Components!AN23&gt;0,PPMT(EarningsRate,1,Components!$K23,0,-Components!AN23*((1+InflationRate)^Components!$K23),0),AL23)</f>
        <v>7231.5771095804057</v>
      </c>
      <c r="AN23" s="11">
        <f>IF(Components!AO23&gt;0,PPMT(EarningsRate,1,Components!$K23,0,-Components!AO23*((1+InflationRate)^Components!$K23),0),AM23)</f>
        <v>7231.5771095804057</v>
      </c>
      <c r="AO23" s="11">
        <f>IF(Components!AP23&gt;0,PPMT(EarningsRate,1,Components!$K23,0,-Components!AP23*((1+InflationRate)^Components!$K23),0),AN23)</f>
        <v>7231.5771095804057</v>
      </c>
      <c r="AP23" s="214"/>
      <c r="AQ23" s="11">
        <f t="shared" si="1"/>
        <v>143211.14087887196</v>
      </c>
    </row>
    <row r="24" spans="1:43" s="1" customFormat="1">
      <c r="A24" s="220" t="str">
        <f>Components!B24</f>
        <v>Club HVAC</v>
      </c>
      <c r="B24" s="220" t="str">
        <f>Components!C24</f>
        <v>RTU#2 Blower Motor</v>
      </c>
      <c r="C24" s="211"/>
      <c r="D24" s="211"/>
      <c r="E24" s="211"/>
      <c r="F24" s="88"/>
      <c r="G24" s="212"/>
      <c r="H24" s="212"/>
      <c r="I24" s="212"/>
      <c r="J24" s="211"/>
      <c r="K24" s="11">
        <f>IF('FF Balance'!H24&gt;=0,PPMT(EarningsRate,1,Components!K24,0,-'FF Balance'!G24,0),0)</f>
        <v>601.24343217742307</v>
      </c>
      <c r="L24" s="11">
        <f>IF(Components!M24&gt;0,PPMT(EarningsRate,1,Components!$K24,0,-Components!M24*((1+InflationRate)^Components!$K24),0),K24)</f>
        <v>601.24343217742307</v>
      </c>
      <c r="M24" s="11">
        <f>IF(Components!N24&gt;0,PPMT(EarningsRate,1,Components!$K24,0,-Components!N24*((1+InflationRate)^Components!$K24),0),L24)</f>
        <v>601.24343217742307</v>
      </c>
      <c r="N24" s="11">
        <f>IF(Components!O24&gt;0,PPMT(EarningsRate,1,Components!$K24,0,-Components!O24*((1+InflationRate)^Components!$K24),0),M24)</f>
        <v>601.24343217742307</v>
      </c>
      <c r="O24" s="11">
        <f>IF(Components!P24&gt;0,PPMT(EarningsRate,1,Components!$K24,0,-Components!P24*((1+InflationRate)^Components!$K24),0),N24)</f>
        <v>601.24343217742307</v>
      </c>
      <c r="P24" s="11">
        <f>IF(Components!Q24&gt;0,PPMT(EarningsRate,1,Components!$K24,0,-Components!Q24*((1+InflationRate)^Components!$K24),0),O24)</f>
        <v>601.24343217742307</v>
      </c>
      <c r="Q24" s="11">
        <f>IF(Components!R24&gt;0,PPMT(EarningsRate,1,Components!$K24,0,-Components!R24*((1+InflationRate)^Components!$K24),0),P24)</f>
        <v>601.24343217742307</v>
      </c>
      <c r="R24" s="11">
        <f>IF(Components!S24&gt;0,PPMT(EarningsRate,1,Components!$K24,0,-Components!S24*((1+InflationRate)^Components!$K24),0),Q24)</f>
        <v>601.24343217742307</v>
      </c>
      <c r="S24" s="11">
        <f>IF(Components!T24&gt;0,PPMT(EarningsRate,1,Components!$K24,0,-Components!T24*((1+InflationRate)^Components!$K24),0),R24)</f>
        <v>1007.2924810958608</v>
      </c>
      <c r="T24" s="11">
        <f>IF(Components!U24&gt;0,PPMT(EarningsRate,1,Components!$K24,0,-Components!U24*((1+InflationRate)^Components!$K24),0),S24)</f>
        <v>1007.2924810958608</v>
      </c>
      <c r="U24" s="11">
        <f>IF(Components!V24&gt;0,PPMT(EarningsRate,1,Components!$K24,0,-Components!V24*((1+InflationRate)^Components!$K24),0),T24)</f>
        <v>1007.2924810958608</v>
      </c>
      <c r="V24" s="11">
        <f>IF(Components!W24&gt;0,PPMT(EarningsRate,1,Components!$K24,0,-Components!W24*((1+InflationRate)^Components!$K24),0),U24)</f>
        <v>1007.2924810958608</v>
      </c>
      <c r="W24" s="11">
        <f>IF(Components!X24&gt;0,PPMT(EarningsRate,1,Components!$K24,0,-Components!X24*((1+InflationRate)^Components!$K24),0),V24)</f>
        <v>1007.2924810958608</v>
      </c>
      <c r="X24" s="11">
        <f>IF(Components!Y24&gt;0,PPMT(EarningsRate,1,Components!$K24,0,-Components!Y24*((1+InflationRate)^Components!$K24),0),W24)</f>
        <v>1007.2924810958608</v>
      </c>
      <c r="Y24" s="11">
        <f>IF(Components!Z24&gt;0,PPMT(EarningsRate,1,Components!$K24,0,-Components!Z24*((1+InflationRate)^Components!$K24),0),X24)</f>
        <v>1007.2924810958608</v>
      </c>
      <c r="Z24" s="11">
        <f>IF(Components!AA24&gt;0,PPMT(EarningsRate,1,Components!$K24,0,-Components!AA24*((1+InflationRate)^Components!$K24),0),Y24)</f>
        <v>1007.2924810958608</v>
      </c>
      <c r="AA24" s="11">
        <f>IF(Components!AB24&gt;0,PPMT(EarningsRate,1,Components!$K24,0,-Components!AB24*((1+InflationRate)^Components!$K24),0),Z24)</f>
        <v>1007.2924810958608</v>
      </c>
      <c r="AB24" s="11">
        <f>IF(Components!AC24&gt;0,PPMT(EarningsRate,1,Components!$K24,0,-Components!AC24*((1+InflationRate)^Components!$K24),0),AA24)</f>
        <v>1007.2924810958608</v>
      </c>
      <c r="AC24" s="11">
        <f>IF(Components!AD24&gt;0,PPMT(EarningsRate,1,Components!$K24,0,-Components!AD24*((1+InflationRate)^Components!$K24),0),AB24)</f>
        <v>1007.2924810958608</v>
      </c>
      <c r="AD24" s="11">
        <f>IF(Components!AE24&gt;0,PPMT(EarningsRate,1,Components!$K24,0,-Components!AE24*((1+InflationRate)^Components!$K24),0),AC24)</f>
        <v>1007.2924810958608</v>
      </c>
      <c r="AE24" s="11">
        <f>IF(Components!AF24&gt;0,PPMT(EarningsRate,1,Components!$K24,0,-Components!AF24*((1+InflationRate)^Components!$K24),0),AD24)</f>
        <v>1007.2924810958608</v>
      </c>
      <c r="AF24" s="11">
        <f>IF(Components!AG24&gt;0,PPMT(EarningsRate,1,Components!$K24,0,-Components!AG24*((1+InflationRate)^Components!$K24),0),AE24)</f>
        <v>1007.2924810958608</v>
      </c>
      <c r="AG24" s="11">
        <f>IF(Components!AH24&gt;0,PPMT(EarningsRate,1,Components!$K24,0,-Components!AH24*((1+InflationRate)^Components!$K24),0),AF24)</f>
        <v>1007.2924810958608</v>
      </c>
      <c r="AH24" s="11">
        <f>IF(Components!AI24&gt;0,PPMT(EarningsRate,1,Components!$K24,0,-Components!AI24*((1+InflationRate)^Components!$K24),0),AG24)</f>
        <v>1687.4769961641243</v>
      </c>
      <c r="AI24" s="11">
        <f>IF(Components!AJ24&gt;0,PPMT(EarningsRate,1,Components!$K24,0,-Components!AJ24*((1+InflationRate)^Components!$K24),0),AH24)</f>
        <v>1687.4769961641243</v>
      </c>
      <c r="AJ24" s="11">
        <f>IF(Components!AK24&gt;0,PPMT(EarningsRate,1,Components!$K24,0,-Components!AK24*((1+InflationRate)^Components!$K24),0),AI24)</f>
        <v>1687.4769961641243</v>
      </c>
      <c r="AK24" s="11">
        <f>IF(Components!AL24&gt;0,PPMT(EarningsRate,1,Components!$K24,0,-Components!AL24*((1+InflationRate)^Components!$K24),0),AJ24)</f>
        <v>1687.4769961641243</v>
      </c>
      <c r="AL24" s="11">
        <f>IF(Components!AM24&gt;0,PPMT(EarningsRate,1,Components!$K24,0,-Components!AM24*((1+InflationRate)^Components!$K24),0),AK24)</f>
        <v>1687.4769961641243</v>
      </c>
      <c r="AM24" s="11">
        <f>IF(Components!AN24&gt;0,PPMT(EarningsRate,1,Components!$K24,0,-Components!AN24*((1+InflationRate)^Components!$K24),0),AL24)</f>
        <v>1687.4769961641243</v>
      </c>
      <c r="AN24" s="11">
        <f>IF(Components!AO24&gt;0,PPMT(EarningsRate,1,Components!$K24,0,-Components!AO24*((1+InflationRate)^Components!$K24),0),AM24)</f>
        <v>1687.4769961641243</v>
      </c>
      <c r="AO24" s="11">
        <f>IF(Components!AP24&gt;0,PPMT(EarningsRate,1,Components!$K24,0,-Components!AP24*((1+InflationRate)^Components!$K24),0),AN24)</f>
        <v>1687.4769961641243</v>
      </c>
      <c r="AP24" s="214"/>
      <c r="AQ24" s="11">
        <f t="shared" si="1"/>
        <v>33419.150743170299</v>
      </c>
    </row>
    <row r="25" spans="1:43" s="1" customFormat="1">
      <c r="A25" s="220" t="str">
        <f>Components!B25</f>
        <v>Club HVAC</v>
      </c>
      <c r="B25" s="220" t="str">
        <f>Components!C25</f>
        <v>RTU#2 Compressor #2</v>
      </c>
      <c r="C25" s="211"/>
      <c r="D25" s="211"/>
      <c r="E25" s="211"/>
      <c r="F25" s="88"/>
      <c r="G25" s="212"/>
      <c r="H25" s="212"/>
      <c r="I25" s="212"/>
      <c r="J25" s="211"/>
      <c r="K25" s="11">
        <f>IF('FF Balance'!H25&gt;=0,PPMT(EarningsRate,1,Components!K25,0,-'FF Balance'!G25,0),0)</f>
        <v>677.13800081473346</v>
      </c>
      <c r="L25" s="11">
        <f>IF(Components!M25&gt;0,PPMT(EarningsRate,1,Components!$K25,0,-Components!M25*((1+InflationRate)^Components!$K25),0),K25)</f>
        <v>677.13800081473346</v>
      </c>
      <c r="M25" s="11">
        <f>IF(Components!N25&gt;0,PPMT(EarningsRate,1,Components!$K25,0,-Components!N25*((1+InflationRate)^Components!$K25),0),L25)</f>
        <v>677.13800081473346</v>
      </c>
      <c r="N25" s="11">
        <f>IF(Components!O25&gt;0,PPMT(EarningsRate,1,Components!$K25,0,-Components!O25*((1+InflationRate)^Components!$K25),0),M25)</f>
        <v>677.13800081473346</v>
      </c>
      <c r="O25" s="11">
        <f>IF(Components!P25&gt;0,PPMT(EarningsRate,1,Components!$K25,0,-Components!P25*((1+InflationRate)^Components!$K25),0),N25)</f>
        <v>677.13800081473346</v>
      </c>
      <c r="P25" s="11">
        <f>IF(Components!Q25&gt;0,PPMT(EarningsRate,1,Components!$K25,0,-Components!Q25*((1+InflationRate)^Components!$K25),0),O25)</f>
        <v>677.13800081473346</v>
      </c>
      <c r="Q25" s="11">
        <f>IF(Components!R25&gt;0,PPMT(EarningsRate,1,Components!$K25,0,-Components!R25*((1+InflationRate)^Components!$K25),0),P25)</f>
        <v>677.13800081473346</v>
      </c>
      <c r="R25" s="11">
        <f>IF(Components!S25&gt;0,PPMT(EarningsRate,1,Components!$K25,0,-Components!S25*((1+InflationRate)^Components!$K25),0),Q25)</f>
        <v>677.13800081473346</v>
      </c>
      <c r="S25" s="11">
        <f>IF(Components!T25&gt;0,PPMT(EarningsRate,1,Components!$K25,0,-Components!T25*((1+InflationRate)^Components!$K25),0),R25)</f>
        <v>1134.4423579228187</v>
      </c>
      <c r="T25" s="11">
        <f>IF(Components!U25&gt;0,PPMT(EarningsRate,1,Components!$K25,0,-Components!U25*((1+InflationRate)^Components!$K25),0),S25)</f>
        <v>1134.4423579228187</v>
      </c>
      <c r="U25" s="11">
        <f>IF(Components!V25&gt;0,PPMT(EarningsRate,1,Components!$K25,0,-Components!V25*((1+InflationRate)^Components!$K25),0),T25)</f>
        <v>1134.4423579228187</v>
      </c>
      <c r="V25" s="11">
        <f>IF(Components!W25&gt;0,PPMT(EarningsRate,1,Components!$K25,0,-Components!W25*((1+InflationRate)^Components!$K25),0),U25)</f>
        <v>1134.4423579228187</v>
      </c>
      <c r="W25" s="11">
        <f>IF(Components!X25&gt;0,PPMT(EarningsRate,1,Components!$K25,0,-Components!X25*((1+InflationRate)^Components!$K25),0),V25)</f>
        <v>1134.4423579228187</v>
      </c>
      <c r="X25" s="11">
        <f>IF(Components!Y25&gt;0,PPMT(EarningsRate,1,Components!$K25,0,-Components!Y25*((1+InflationRate)^Components!$K25),0),W25)</f>
        <v>1134.4423579228187</v>
      </c>
      <c r="Y25" s="11">
        <f>IF(Components!Z25&gt;0,PPMT(EarningsRate,1,Components!$K25,0,-Components!Z25*((1+InflationRate)^Components!$K25),0),X25)</f>
        <v>1134.4423579228187</v>
      </c>
      <c r="Z25" s="11">
        <f>IF(Components!AA25&gt;0,PPMT(EarningsRate,1,Components!$K25,0,-Components!AA25*((1+InflationRate)^Components!$K25),0),Y25)</f>
        <v>1134.4423579228187</v>
      </c>
      <c r="AA25" s="11">
        <f>IF(Components!AB25&gt;0,PPMT(EarningsRate,1,Components!$K25,0,-Components!AB25*((1+InflationRate)^Components!$K25),0),Z25)</f>
        <v>1134.4423579228187</v>
      </c>
      <c r="AB25" s="11">
        <f>IF(Components!AC25&gt;0,PPMT(EarningsRate,1,Components!$K25,0,-Components!AC25*((1+InflationRate)^Components!$K25),0),AA25)</f>
        <v>1134.4423579228187</v>
      </c>
      <c r="AC25" s="11">
        <f>IF(Components!AD25&gt;0,PPMT(EarningsRate,1,Components!$K25,0,-Components!AD25*((1+InflationRate)^Components!$K25),0),AB25)</f>
        <v>1134.4423579228187</v>
      </c>
      <c r="AD25" s="11">
        <f>IF(Components!AE25&gt;0,PPMT(EarningsRate,1,Components!$K25,0,-Components!AE25*((1+InflationRate)^Components!$K25),0),AC25)</f>
        <v>1134.4423579228187</v>
      </c>
      <c r="AE25" s="11">
        <f>IF(Components!AF25&gt;0,PPMT(EarningsRate,1,Components!$K25,0,-Components!AF25*((1+InflationRate)^Components!$K25),0),AD25)</f>
        <v>1134.4423579228187</v>
      </c>
      <c r="AF25" s="11">
        <f>IF(Components!AG25&gt;0,PPMT(EarningsRate,1,Components!$K25,0,-Components!AG25*((1+InflationRate)^Components!$K25),0),AE25)</f>
        <v>1134.4423579228187</v>
      </c>
      <c r="AG25" s="11">
        <f>IF(Components!AH25&gt;0,PPMT(EarningsRate,1,Components!$K25,0,-Components!AH25*((1+InflationRate)^Components!$K25),0),AF25)</f>
        <v>1134.4423579228187</v>
      </c>
      <c r="AH25" s="11">
        <f>IF(Components!AI25&gt;0,PPMT(EarningsRate,1,Components!$K25,0,-Components!AI25*((1+InflationRate)^Components!$K25),0),AG25)</f>
        <v>1900.5155568083842</v>
      </c>
      <c r="AI25" s="11">
        <f>IF(Components!AJ25&gt;0,PPMT(EarningsRate,1,Components!$K25,0,-Components!AJ25*((1+InflationRate)^Components!$K25),0),AH25)</f>
        <v>1900.5155568083842</v>
      </c>
      <c r="AJ25" s="11">
        <f>IF(Components!AK25&gt;0,PPMT(EarningsRate,1,Components!$K25,0,-Components!AK25*((1+InflationRate)^Components!$K25),0),AI25)</f>
        <v>1900.5155568083842</v>
      </c>
      <c r="AK25" s="11">
        <f>IF(Components!AL25&gt;0,PPMT(EarningsRate,1,Components!$K25,0,-Components!AL25*((1+InflationRate)^Components!$K25),0),AJ25)</f>
        <v>1900.5155568083842</v>
      </c>
      <c r="AL25" s="11">
        <f>IF(Components!AM25&gt;0,PPMT(EarningsRate,1,Components!$K25,0,-Components!AM25*((1+InflationRate)^Components!$K25),0),AK25)</f>
        <v>1900.5155568083842</v>
      </c>
      <c r="AM25" s="11">
        <f>IF(Components!AN25&gt;0,PPMT(EarningsRate,1,Components!$K25,0,-Components!AN25*((1+InflationRate)^Components!$K25),0),AL25)</f>
        <v>1900.5155568083842</v>
      </c>
      <c r="AN25" s="11">
        <f>IF(Components!AO25&gt;0,PPMT(EarningsRate,1,Components!$K25,0,-Components!AO25*((1+InflationRate)^Components!$K25),0),AM25)</f>
        <v>1900.5155568083842</v>
      </c>
      <c r="AO25" s="11">
        <f>IF(Components!AP25&gt;0,PPMT(EarningsRate,1,Components!$K25,0,-Components!AP25*((1+InflationRate)^Components!$K25),0),AN25)</f>
        <v>1900.5155568083842</v>
      </c>
      <c r="AP25" s="214"/>
      <c r="AQ25" s="11">
        <f t="shared" si="1"/>
        <v>37637.86392982721</v>
      </c>
    </row>
    <row r="26" spans="1:43" s="1" customFormat="1">
      <c r="A26" s="220" t="str">
        <f>Components!B26</f>
        <v>Club HVAC</v>
      </c>
      <c r="B26" s="220" t="str">
        <f>Components!C26</f>
        <v>RTU#2 Evaporitive Coil</v>
      </c>
      <c r="C26" s="211"/>
      <c r="D26" s="211"/>
      <c r="E26" s="211"/>
      <c r="F26" s="88"/>
      <c r="G26" s="212"/>
      <c r="H26" s="212"/>
      <c r="I26" s="212"/>
      <c r="J26" s="211"/>
      <c r="K26" s="11">
        <f>IF('FF Balance'!H26&gt;=0,PPMT(EarningsRate,1,Components!K26,0,-'FF Balance'!G26,0),0)</f>
        <v>663.99136222324785</v>
      </c>
      <c r="L26" s="11">
        <f>IF(Components!M26&gt;0,PPMT(EarningsRate,1,Components!$K26,0,-Components!M26*((1+InflationRate)^Components!$K26),0),K26)</f>
        <v>663.99136222324785</v>
      </c>
      <c r="M26" s="11">
        <f>IF(Components!N26&gt;0,PPMT(EarningsRate,1,Components!$K26,0,-Components!N26*((1+InflationRate)^Components!$K26),0),L26)</f>
        <v>663.99136222324785</v>
      </c>
      <c r="N26" s="11">
        <f>IF(Components!O26&gt;0,PPMT(EarningsRate,1,Components!$K26,0,-Components!O26*((1+InflationRate)^Components!$K26),0),M26)</f>
        <v>663.99136222324785</v>
      </c>
      <c r="O26" s="11">
        <f>IF(Components!P26&gt;0,PPMT(EarningsRate,1,Components!$K26,0,-Components!P26*((1+InflationRate)^Components!$K26),0),N26)</f>
        <v>663.99136222324785</v>
      </c>
      <c r="P26" s="11">
        <f>IF(Components!Q26&gt;0,PPMT(EarningsRate,1,Components!$K26,0,-Components!Q26*((1+InflationRate)^Components!$K26),0),O26)</f>
        <v>663.99136222324785</v>
      </c>
      <c r="Q26" s="11">
        <f>IF(Components!R26&gt;0,PPMT(EarningsRate,1,Components!$K26,0,-Components!R26*((1+InflationRate)^Components!$K26),0),P26)</f>
        <v>663.99136222324785</v>
      </c>
      <c r="R26" s="11">
        <f>IF(Components!S26&gt;0,PPMT(EarningsRate,1,Components!$K26,0,-Components!S26*((1+InflationRate)^Components!$K26),0),Q26)</f>
        <v>663.99136222324785</v>
      </c>
      <c r="S26" s="11">
        <f>IF(Components!T26&gt;0,PPMT(EarningsRate,1,Components!$K26,0,-Components!T26*((1+InflationRate)^Components!$K26),0),R26)</f>
        <v>1112.4171523302516</v>
      </c>
      <c r="T26" s="11">
        <f>IF(Components!U26&gt;0,PPMT(EarningsRate,1,Components!$K26,0,-Components!U26*((1+InflationRate)^Components!$K26),0),S26)</f>
        <v>1112.4171523302516</v>
      </c>
      <c r="U26" s="11">
        <f>IF(Components!V26&gt;0,PPMT(EarningsRate,1,Components!$K26,0,-Components!V26*((1+InflationRate)^Components!$K26),0),T26)</f>
        <v>1112.4171523302516</v>
      </c>
      <c r="V26" s="11">
        <f>IF(Components!W26&gt;0,PPMT(EarningsRate,1,Components!$K26,0,-Components!W26*((1+InflationRate)^Components!$K26),0),U26)</f>
        <v>1112.4171523302516</v>
      </c>
      <c r="W26" s="11">
        <f>IF(Components!X26&gt;0,PPMT(EarningsRate,1,Components!$K26,0,-Components!X26*((1+InflationRate)^Components!$K26),0),V26)</f>
        <v>1112.4171523302516</v>
      </c>
      <c r="X26" s="11">
        <f>IF(Components!Y26&gt;0,PPMT(EarningsRate,1,Components!$K26,0,-Components!Y26*((1+InflationRate)^Components!$K26),0),W26)</f>
        <v>1112.4171523302516</v>
      </c>
      <c r="Y26" s="11">
        <f>IF(Components!Z26&gt;0,PPMT(EarningsRate,1,Components!$K26,0,-Components!Z26*((1+InflationRate)^Components!$K26),0),X26)</f>
        <v>1112.4171523302516</v>
      </c>
      <c r="Z26" s="11">
        <f>IF(Components!AA26&gt;0,PPMT(EarningsRate,1,Components!$K26,0,-Components!AA26*((1+InflationRate)^Components!$K26),0),Y26)</f>
        <v>1112.4171523302516</v>
      </c>
      <c r="AA26" s="11">
        <f>IF(Components!AB26&gt;0,PPMT(EarningsRate,1,Components!$K26,0,-Components!AB26*((1+InflationRate)^Components!$K26),0),Z26)</f>
        <v>1112.4171523302516</v>
      </c>
      <c r="AB26" s="11">
        <f>IF(Components!AC26&gt;0,PPMT(EarningsRate,1,Components!$K26,0,-Components!AC26*((1+InflationRate)^Components!$K26),0),AA26)</f>
        <v>1112.4171523302516</v>
      </c>
      <c r="AC26" s="11">
        <f>IF(Components!AD26&gt;0,PPMT(EarningsRate,1,Components!$K26,0,-Components!AD26*((1+InflationRate)^Components!$K26),0),AB26)</f>
        <v>1112.4171523302516</v>
      </c>
      <c r="AD26" s="11">
        <f>IF(Components!AE26&gt;0,PPMT(EarningsRate,1,Components!$K26,0,-Components!AE26*((1+InflationRate)^Components!$K26),0),AC26)</f>
        <v>1112.4171523302516</v>
      </c>
      <c r="AE26" s="11">
        <f>IF(Components!AF26&gt;0,PPMT(EarningsRate,1,Components!$K26,0,-Components!AF26*((1+InflationRate)^Components!$K26),0),AD26)</f>
        <v>1112.4171523302516</v>
      </c>
      <c r="AF26" s="11">
        <f>IF(Components!AG26&gt;0,PPMT(EarningsRate,1,Components!$K26,0,-Components!AG26*((1+InflationRate)^Components!$K26),0),AE26)</f>
        <v>1112.4171523302516</v>
      </c>
      <c r="AG26" s="11">
        <f>IF(Components!AH26&gt;0,PPMT(EarningsRate,1,Components!$K26,0,-Components!AH26*((1+InflationRate)^Components!$K26),0),AF26)</f>
        <v>1112.4171523302516</v>
      </c>
      <c r="AH26" s="11">
        <f>IF(Components!AI26&gt;0,PPMT(EarningsRate,1,Components!$K26,0,-Components!AI26*((1+InflationRate)^Components!$K26),0),AG26)</f>
        <v>1863.582460967574</v>
      </c>
      <c r="AI26" s="11">
        <f>IF(Components!AJ26&gt;0,PPMT(EarningsRate,1,Components!$K26,0,-Components!AJ26*((1+InflationRate)^Components!$K26),0),AH26)</f>
        <v>1863.582460967574</v>
      </c>
      <c r="AJ26" s="11">
        <f>IF(Components!AK26&gt;0,PPMT(EarningsRate,1,Components!$K26,0,-Components!AK26*((1+InflationRate)^Components!$K26),0),AI26)</f>
        <v>1863.582460967574</v>
      </c>
      <c r="AK26" s="11">
        <f>IF(Components!AL26&gt;0,PPMT(EarningsRate,1,Components!$K26,0,-Components!AL26*((1+InflationRate)^Components!$K26),0),AJ26)</f>
        <v>1863.582460967574</v>
      </c>
      <c r="AL26" s="11">
        <f>IF(Components!AM26&gt;0,PPMT(EarningsRate,1,Components!$K26,0,-Components!AM26*((1+InflationRate)^Components!$K26),0),AK26)</f>
        <v>1863.582460967574</v>
      </c>
      <c r="AM26" s="11">
        <f>IF(Components!AN26&gt;0,PPMT(EarningsRate,1,Components!$K26,0,-Components!AN26*((1+InflationRate)^Components!$K26),0),AL26)</f>
        <v>1863.582460967574</v>
      </c>
      <c r="AN26" s="11">
        <f>IF(Components!AO26&gt;0,PPMT(EarningsRate,1,Components!$K26,0,-Components!AO26*((1+InflationRate)^Components!$K26),0),AM26)</f>
        <v>1863.582460967574</v>
      </c>
      <c r="AO26" s="11">
        <f>IF(Components!AP26&gt;0,PPMT(EarningsRate,1,Components!$K26,0,-Components!AP26*((1+InflationRate)^Components!$K26),0),AN26)</f>
        <v>1863.582460967574</v>
      </c>
      <c r="AP26" s="214"/>
      <c r="AQ26" s="11">
        <f t="shared" si="1"/>
        <v>36906.847970480339</v>
      </c>
    </row>
    <row r="27" spans="1:43" s="1" customFormat="1">
      <c r="A27" s="220" t="str">
        <f>Components!B27</f>
        <v>Club HVAC</v>
      </c>
      <c r="B27" s="220" t="str">
        <f>Components!C27</f>
        <v>RTU#2 Motherboard</v>
      </c>
      <c r="C27" s="211"/>
      <c r="D27" s="211"/>
      <c r="E27" s="211"/>
      <c r="F27" s="88"/>
      <c r="G27" s="212"/>
      <c r="H27" s="212"/>
      <c r="I27" s="212"/>
      <c r="J27" s="211"/>
      <c r="K27" s="11">
        <f>IF('FF Balance'!H27&gt;=0,PPMT(EarningsRate,1,Components!K27,0,-'FF Balance'!G27,0),0)</f>
        <v>506.8631970490278</v>
      </c>
      <c r="L27" s="11">
        <f>IF(Components!M27&gt;0,PPMT(EarningsRate,1,Components!$K27,0,-Components!M27*((1+InflationRate)^Components!$K27),0),K27)</f>
        <v>506.8631970490278</v>
      </c>
      <c r="M27" s="11">
        <f>IF(Components!N27&gt;0,PPMT(EarningsRate,1,Components!$K27,0,-Components!N27*((1+InflationRate)^Components!$K27),0),L27)</f>
        <v>506.8631970490278</v>
      </c>
      <c r="N27" s="11">
        <f>IF(Components!O27&gt;0,PPMT(EarningsRate,1,Components!$K27,0,-Components!O27*((1+InflationRate)^Components!$K27),0),M27)</f>
        <v>506.8631970490278</v>
      </c>
      <c r="O27" s="11">
        <f>IF(Components!P27&gt;0,PPMT(EarningsRate,1,Components!$K27,0,-Components!P27*((1+InflationRate)^Components!$K27),0),N27)</f>
        <v>506.8631970490278</v>
      </c>
      <c r="P27" s="11">
        <f>IF(Components!Q27&gt;0,PPMT(EarningsRate,1,Components!$K27,0,-Components!Q27*((1+InflationRate)^Components!$K27),0),O27)</f>
        <v>506.8631970490278</v>
      </c>
      <c r="Q27" s="11">
        <f>IF(Components!R27&gt;0,PPMT(EarningsRate,1,Components!$K27,0,-Components!R27*((1+InflationRate)^Components!$K27),0),P27)</f>
        <v>506.8631970490278</v>
      </c>
      <c r="R27" s="11">
        <f>IF(Components!S27&gt;0,PPMT(EarningsRate,1,Components!$K27,0,-Components!S27*((1+InflationRate)^Components!$K27),0),Q27)</f>
        <v>506.8631970490278</v>
      </c>
      <c r="S27" s="11">
        <f>IF(Components!T27&gt;0,PPMT(EarningsRate,1,Components!$K27,0,-Components!T27*((1+InflationRate)^Components!$K27),0),R27)</f>
        <v>849.17266452738988</v>
      </c>
      <c r="T27" s="11">
        <f>IF(Components!U27&gt;0,PPMT(EarningsRate,1,Components!$K27,0,-Components!U27*((1+InflationRate)^Components!$K27),0),S27)</f>
        <v>849.17266452738988</v>
      </c>
      <c r="U27" s="11">
        <f>IF(Components!V27&gt;0,PPMT(EarningsRate,1,Components!$K27,0,-Components!V27*((1+InflationRate)^Components!$K27),0),T27)</f>
        <v>849.17266452738988</v>
      </c>
      <c r="V27" s="11">
        <f>IF(Components!W27&gt;0,PPMT(EarningsRate,1,Components!$K27,0,-Components!W27*((1+InflationRate)^Components!$K27),0),U27)</f>
        <v>849.17266452738988</v>
      </c>
      <c r="W27" s="11">
        <f>IF(Components!X27&gt;0,PPMT(EarningsRate,1,Components!$K27,0,-Components!X27*((1+InflationRate)^Components!$K27),0),V27)</f>
        <v>849.17266452738988</v>
      </c>
      <c r="X27" s="11">
        <f>IF(Components!Y27&gt;0,PPMT(EarningsRate,1,Components!$K27,0,-Components!Y27*((1+InflationRate)^Components!$K27),0),W27)</f>
        <v>849.17266452738988</v>
      </c>
      <c r="Y27" s="11">
        <f>IF(Components!Z27&gt;0,PPMT(EarningsRate,1,Components!$K27,0,-Components!Z27*((1+InflationRate)^Components!$K27),0),X27)</f>
        <v>849.17266452738988</v>
      </c>
      <c r="Z27" s="11">
        <f>IF(Components!AA27&gt;0,PPMT(EarningsRate,1,Components!$K27,0,-Components!AA27*((1+InflationRate)^Components!$K27),0),Y27)</f>
        <v>849.17266452738988</v>
      </c>
      <c r="AA27" s="11">
        <f>IF(Components!AB27&gt;0,PPMT(EarningsRate,1,Components!$K27,0,-Components!AB27*((1+InflationRate)^Components!$K27),0),Z27)</f>
        <v>849.17266452738988</v>
      </c>
      <c r="AB27" s="11">
        <f>IF(Components!AC27&gt;0,PPMT(EarningsRate,1,Components!$K27,0,-Components!AC27*((1+InflationRate)^Components!$K27),0),AA27)</f>
        <v>849.17266452738988</v>
      </c>
      <c r="AC27" s="11">
        <f>IF(Components!AD27&gt;0,PPMT(EarningsRate,1,Components!$K27,0,-Components!AD27*((1+InflationRate)^Components!$K27),0),AB27)</f>
        <v>849.17266452738988</v>
      </c>
      <c r="AD27" s="11">
        <f>IF(Components!AE27&gt;0,PPMT(EarningsRate,1,Components!$K27,0,-Components!AE27*((1+InflationRate)^Components!$K27),0),AC27)</f>
        <v>849.17266452738988</v>
      </c>
      <c r="AE27" s="11">
        <f>IF(Components!AF27&gt;0,PPMT(EarningsRate,1,Components!$K27,0,-Components!AF27*((1+InflationRate)^Components!$K27),0),AD27)</f>
        <v>849.17266452738988</v>
      </c>
      <c r="AF27" s="11">
        <f>IF(Components!AG27&gt;0,PPMT(EarningsRate,1,Components!$K27,0,-Components!AG27*((1+InflationRate)^Components!$K27),0),AE27)</f>
        <v>849.17266452738988</v>
      </c>
      <c r="AG27" s="11">
        <f>IF(Components!AH27&gt;0,PPMT(EarningsRate,1,Components!$K27,0,-Components!AH27*((1+InflationRate)^Components!$K27),0),AF27)</f>
        <v>849.17266452738988</v>
      </c>
      <c r="AH27" s="11">
        <f>IF(Components!AI27&gt;0,PPMT(EarningsRate,1,Components!$K27,0,-Components!AI27*((1+InflationRate)^Components!$K27),0),AG27)</f>
        <v>1422.5974494308105</v>
      </c>
      <c r="AI27" s="11">
        <f>IF(Components!AJ27&gt;0,PPMT(EarningsRate,1,Components!$K27,0,-Components!AJ27*((1+InflationRate)^Components!$K27),0),AH27)</f>
        <v>1422.5974494308105</v>
      </c>
      <c r="AJ27" s="11">
        <f>IF(Components!AK27&gt;0,PPMT(EarningsRate,1,Components!$K27,0,-Components!AK27*((1+InflationRate)^Components!$K27),0),AI27)</f>
        <v>1422.5974494308105</v>
      </c>
      <c r="AK27" s="11">
        <f>IF(Components!AL27&gt;0,PPMT(EarningsRate,1,Components!$K27,0,-Components!AL27*((1+InflationRate)^Components!$K27),0),AJ27)</f>
        <v>1422.5974494308105</v>
      </c>
      <c r="AL27" s="11">
        <f>IF(Components!AM27&gt;0,PPMT(EarningsRate,1,Components!$K27,0,-Components!AM27*((1+InflationRate)^Components!$K27),0),AK27)</f>
        <v>1422.5974494308105</v>
      </c>
      <c r="AM27" s="11">
        <f>IF(Components!AN27&gt;0,PPMT(EarningsRate,1,Components!$K27,0,-Components!AN27*((1+InflationRate)^Components!$K27),0),AL27)</f>
        <v>1422.5974494308105</v>
      </c>
      <c r="AN27" s="11">
        <f>IF(Components!AO27&gt;0,PPMT(EarningsRate,1,Components!$K27,0,-Components!AO27*((1+InflationRate)^Components!$K27),0),AM27)</f>
        <v>1422.5974494308105</v>
      </c>
      <c r="AO27" s="11">
        <f>IF(Components!AP27&gt;0,PPMT(EarningsRate,1,Components!$K27,0,-Components!AP27*((1+InflationRate)^Components!$K27),0),AN27)</f>
        <v>1422.5974494308105</v>
      </c>
      <c r="AP27" s="214"/>
      <c r="AQ27" s="11">
        <f t="shared" si="1"/>
        <v>28173.275239749557</v>
      </c>
    </row>
    <row r="28" spans="1:43" s="1" customFormat="1">
      <c r="A28" s="220" t="str">
        <f>Components!B28</f>
        <v>Club HVAC</v>
      </c>
      <c r="B28" s="220" t="str">
        <f>Components!C28</f>
        <v>RTU#3 Blower Motor</v>
      </c>
      <c r="C28" s="211"/>
      <c r="D28" s="211"/>
      <c r="E28" s="211"/>
      <c r="F28" s="88"/>
      <c r="G28" s="212"/>
      <c r="H28" s="212"/>
      <c r="I28" s="212"/>
      <c r="J28" s="211"/>
      <c r="K28" s="11">
        <f>IF('FF Balance'!H28&gt;=0,PPMT(EarningsRate,1,Components!K28,0,-'FF Balance'!G28,0),0)</f>
        <v>616.34197344188044</v>
      </c>
      <c r="L28" s="11">
        <f>IF(Components!M28&gt;0,PPMT(EarningsRate,1,Components!$K28,0,-Components!M28*((1+InflationRate)^Components!$K28),0),K28)</f>
        <v>616.34197344188044</v>
      </c>
      <c r="M28" s="11">
        <f>IF(Components!N28&gt;0,PPMT(EarningsRate,1,Components!$K28,0,-Components!N28*((1+InflationRate)^Components!$K28),0),L28)</f>
        <v>616.34197344188044</v>
      </c>
      <c r="N28" s="11">
        <f>IF(Components!O28&gt;0,PPMT(EarningsRate,1,Components!$K28,0,-Components!O28*((1+InflationRate)^Components!$K28),0),M28)</f>
        <v>616.34197344188044</v>
      </c>
      <c r="O28" s="11">
        <f>IF(Components!P28&gt;0,PPMT(EarningsRate,1,Components!$K28,0,-Components!P28*((1+InflationRate)^Components!$K28),0),N28)</f>
        <v>616.34197344188044</v>
      </c>
      <c r="P28" s="11">
        <f>IF(Components!Q28&gt;0,PPMT(EarningsRate,1,Components!$K28,0,-Components!Q28*((1+InflationRate)^Components!$K28),0),O28)</f>
        <v>616.34197344188044</v>
      </c>
      <c r="Q28" s="11">
        <f>IF(Components!R28&gt;0,PPMT(EarningsRate,1,Components!$K28,0,-Components!R28*((1+InflationRate)^Components!$K28),0),P28)</f>
        <v>616.34197344188044</v>
      </c>
      <c r="R28" s="11">
        <f>IF(Components!S28&gt;0,PPMT(EarningsRate,1,Components!$K28,0,-Components!S28*((1+InflationRate)^Components!$K28),0),Q28)</f>
        <v>616.34197344188044</v>
      </c>
      <c r="S28" s="11">
        <f>IF(Components!T28&gt;0,PPMT(EarningsRate,1,Components!$K28,0,-Components!T28*((1+InflationRate)^Components!$K28),0),R28)</f>
        <v>1032.5878045493328</v>
      </c>
      <c r="T28" s="11">
        <f>IF(Components!U28&gt;0,PPMT(EarningsRate,1,Components!$K28,0,-Components!U28*((1+InflationRate)^Components!$K28),0),S28)</f>
        <v>1032.5878045493328</v>
      </c>
      <c r="U28" s="11">
        <f>IF(Components!V28&gt;0,PPMT(EarningsRate,1,Components!$K28,0,-Components!V28*((1+InflationRate)^Components!$K28),0),T28)</f>
        <v>1032.5878045493328</v>
      </c>
      <c r="V28" s="11">
        <f>IF(Components!W28&gt;0,PPMT(EarningsRate,1,Components!$K28,0,-Components!W28*((1+InflationRate)^Components!$K28),0),U28)</f>
        <v>1032.5878045493328</v>
      </c>
      <c r="W28" s="11">
        <f>IF(Components!X28&gt;0,PPMT(EarningsRate,1,Components!$K28,0,-Components!X28*((1+InflationRate)^Components!$K28),0),V28)</f>
        <v>1032.5878045493328</v>
      </c>
      <c r="X28" s="11">
        <f>IF(Components!Y28&gt;0,PPMT(EarningsRate,1,Components!$K28,0,-Components!Y28*((1+InflationRate)^Components!$K28),0),W28)</f>
        <v>1032.5878045493328</v>
      </c>
      <c r="Y28" s="11">
        <f>IF(Components!Z28&gt;0,PPMT(EarningsRate,1,Components!$K28,0,-Components!Z28*((1+InflationRate)^Components!$K28),0),X28)</f>
        <v>1032.5878045493328</v>
      </c>
      <c r="Z28" s="11">
        <f>IF(Components!AA28&gt;0,PPMT(EarningsRate,1,Components!$K28,0,-Components!AA28*((1+InflationRate)^Components!$K28),0),Y28)</f>
        <v>1032.5878045493328</v>
      </c>
      <c r="AA28" s="11">
        <f>IF(Components!AB28&gt;0,PPMT(EarningsRate,1,Components!$K28,0,-Components!AB28*((1+InflationRate)^Components!$K28),0),Z28)</f>
        <v>1032.5878045493328</v>
      </c>
      <c r="AB28" s="11">
        <f>IF(Components!AC28&gt;0,PPMT(EarningsRate,1,Components!$K28,0,-Components!AC28*((1+InflationRate)^Components!$K28),0),AA28)</f>
        <v>1032.5878045493328</v>
      </c>
      <c r="AC28" s="11">
        <f>IF(Components!AD28&gt;0,PPMT(EarningsRate,1,Components!$K28,0,-Components!AD28*((1+InflationRate)^Components!$K28),0),AB28)</f>
        <v>1032.5878045493328</v>
      </c>
      <c r="AD28" s="11">
        <f>IF(Components!AE28&gt;0,PPMT(EarningsRate,1,Components!$K28,0,-Components!AE28*((1+InflationRate)^Components!$K28),0),AC28)</f>
        <v>1032.5878045493328</v>
      </c>
      <c r="AE28" s="11">
        <f>IF(Components!AF28&gt;0,PPMT(EarningsRate,1,Components!$K28,0,-Components!AF28*((1+InflationRate)^Components!$K28),0),AD28)</f>
        <v>1032.5878045493328</v>
      </c>
      <c r="AF28" s="11">
        <f>IF(Components!AG28&gt;0,PPMT(EarningsRate,1,Components!$K28,0,-Components!AG28*((1+InflationRate)^Components!$K28),0),AE28)</f>
        <v>1032.5878045493328</v>
      </c>
      <c r="AG28" s="11">
        <f>IF(Components!AH28&gt;0,PPMT(EarningsRate,1,Components!$K28,0,-Components!AH28*((1+InflationRate)^Components!$K28),0),AF28)</f>
        <v>1032.5878045493328</v>
      </c>
      <c r="AH28" s="11">
        <f>IF(Components!AI28&gt;0,PPMT(EarningsRate,1,Components!$K28,0,-Components!AI28*((1+InflationRate)^Components!$K28),0),AG28)</f>
        <v>1729.8923484188058</v>
      </c>
      <c r="AI28" s="11">
        <f>IF(Components!AJ28&gt;0,PPMT(EarningsRate,1,Components!$K28,0,-Components!AJ28*((1+InflationRate)^Components!$K28),0),AH28)</f>
        <v>1729.8923484188058</v>
      </c>
      <c r="AJ28" s="11">
        <f>IF(Components!AK28&gt;0,PPMT(EarningsRate,1,Components!$K28,0,-Components!AK28*((1+InflationRate)^Components!$K28),0),AI28)</f>
        <v>1729.8923484188058</v>
      </c>
      <c r="AK28" s="11">
        <f>IF(Components!AL28&gt;0,PPMT(EarningsRate,1,Components!$K28,0,-Components!AL28*((1+InflationRate)^Components!$K28),0),AJ28)</f>
        <v>1729.8923484188058</v>
      </c>
      <c r="AL28" s="11">
        <f>IF(Components!AM28&gt;0,PPMT(EarningsRate,1,Components!$K28,0,-Components!AM28*((1+InflationRate)^Components!$K28),0),AK28)</f>
        <v>1729.8923484188058</v>
      </c>
      <c r="AM28" s="11">
        <f>IF(Components!AN28&gt;0,PPMT(EarningsRate,1,Components!$K28,0,-Components!AN28*((1+InflationRate)^Components!$K28),0),AL28)</f>
        <v>1729.8923484188058</v>
      </c>
      <c r="AN28" s="11">
        <f>IF(Components!AO28&gt;0,PPMT(EarningsRate,1,Components!$K28,0,-Components!AO28*((1+InflationRate)^Components!$K28),0),AM28)</f>
        <v>1729.8923484188058</v>
      </c>
      <c r="AO28" s="11">
        <f>IF(Components!AP28&gt;0,PPMT(EarningsRate,1,Components!$K28,0,-Components!AP28*((1+InflationRate)^Components!$K28),0),AN28)</f>
        <v>1729.8923484188058</v>
      </c>
      <c r="AP28" s="214"/>
      <c r="AQ28" s="11">
        <f t="shared" si="1"/>
        <v>34258.691743125484</v>
      </c>
    </row>
    <row r="29" spans="1:43" s="1" customFormat="1">
      <c r="A29" s="220" t="str">
        <f>Components!B29</f>
        <v>Club HVAC</v>
      </c>
      <c r="B29" s="220" t="str">
        <f>Components!C29</f>
        <v>RTU#3 Compressor #1</v>
      </c>
      <c r="C29" s="211"/>
      <c r="D29" s="211"/>
      <c r="E29" s="211"/>
      <c r="F29" s="88"/>
      <c r="G29" s="212"/>
      <c r="H29" s="212"/>
      <c r="I29" s="212"/>
      <c r="J29" s="211"/>
      <c r="K29" s="11">
        <f>IF('FF Balance'!H29&gt;=0,PPMT(EarningsRate,1,Components!K29,0,-'FF Balance'!G29,0),0)</f>
        <v>944.31903140326847</v>
      </c>
      <c r="L29" s="11">
        <f>IF(Components!M29&gt;0,PPMT(EarningsRate,1,Components!$K29,0,-Components!M29*((1+InflationRate)^Components!$K29),0),K29)</f>
        <v>944.31903140326847</v>
      </c>
      <c r="M29" s="11">
        <f>IF(Components!N29&gt;0,PPMT(EarningsRate,1,Components!$K29,0,-Components!N29*((1+InflationRate)^Components!$K29),0),L29)</f>
        <v>944.31903140326847</v>
      </c>
      <c r="N29" s="11">
        <f>IF(Components!O29&gt;0,PPMT(EarningsRate,1,Components!$K29,0,-Components!O29*((1+InflationRate)^Components!$K29),0),M29)</f>
        <v>944.31903140326847</v>
      </c>
      <c r="O29" s="11">
        <f>IF(Components!P29&gt;0,PPMT(EarningsRate,1,Components!$K29,0,-Components!P29*((1+InflationRate)^Components!$K29),0),N29)</f>
        <v>944.31903140326847</v>
      </c>
      <c r="P29" s="11">
        <f>IF(Components!Q29&gt;0,PPMT(EarningsRate,1,Components!$K29,0,-Components!Q29*((1+InflationRate)^Components!$K29),0),O29)</f>
        <v>944.31903140326847</v>
      </c>
      <c r="Q29" s="11">
        <f>IF(Components!R29&gt;0,PPMT(EarningsRate,1,Components!$K29,0,-Components!R29*((1+InflationRate)^Components!$K29),0),P29)</f>
        <v>944.31903140326847</v>
      </c>
      <c r="R29" s="11">
        <f>IF(Components!S29&gt;0,PPMT(EarningsRate,1,Components!$K29,0,-Components!S29*((1+InflationRate)^Components!$K29),0),Q29)</f>
        <v>944.31903140326847</v>
      </c>
      <c r="S29" s="11">
        <f>IF(Components!T29&gt;0,PPMT(EarningsRate,1,Components!$K29,0,-Components!T29*((1+InflationRate)^Components!$K29),0),R29)</f>
        <v>1582.0637851184774</v>
      </c>
      <c r="T29" s="11">
        <f>IF(Components!U29&gt;0,PPMT(EarningsRate,1,Components!$K29,0,-Components!U29*((1+InflationRate)^Components!$K29),0),S29)</f>
        <v>1582.0637851184774</v>
      </c>
      <c r="U29" s="11">
        <f>IF(Components!V29&gt;0,PPMT(EarningsRate,1,Components!$K29,0,-Components!V29*((1+InflationRate)^Components!$K29),0),T29)</f>
        <v>1582.0637851184774</v>
      </c>
      <c r="V29" s="11">
        <f>IF(Components!W29&gt;0,PPMT(EarningsRate,1,Components!$K29,0,-Components!W29*((1+InflationRate)^Components!$K29),0),U29)</f>
        <v>1582.0637851184774</v>
      </c>
      <c r="W29" s="11">
        <f>IF(Components!X29&gt;0,PPMT(EarningsRate,1,Components!$K29,0,-Components!X29*((1+InflationRate)^Components!$K29),0),V29)</f>
        <v>1582.0637851184774</v>
      </c>
      <c r="X29" s="11">
        <f>IF(Components!Y29&gt;0,PPMT(EarningsRate,1,Components!$K29,0,-Components!Y29*((1+InflationRate)^Components!$K29),0),W29)</f>
        <v>1582.0637851184774</v>
      </c>
      <c r="Y29" s="11">
        <f>IF(Components!Z29&gt;0,PPMT(EarningsRate,1,Components!$K29,0,-Components!Z29*((1+InflationRate)^Components!$K29),0),X29)</f>
        <v>1582.0637851184774</v>
      </c>
      <c r="Z29" s="11">
        <f>IF(Components!AA29&gt;0,PPMT(EarningsRate,1,Components!$K29,0,-Components!AA29*((1+InflationRate)^Components!$K29),0),Y29)</f>
        <v>1582.0637851184774</v>
      </c>
      <c r="AA29" s="11">
        <f>IF(Components!AB29&gt;0,PPMT(EarningsRate,1,Components!$K29,0,-Components!AB29*((1+InflationRate)^Components!$K29),0),Z29)</f>
        <v>1582.0637851184774</v>
      </c>
      <c r="AB29" s="11">
        <f>IF(Components!AC29&gt;0,PPMT(EarningsRate,1,Components!$K29,0,-Components!AC29*((1+InflationRate)^Components!$K29),0),AA29)</f>
        <v>1582.0637851184774</v>
      </c>
      <c r="AC29" s="11">
        <f>IF(Components!AD29&gt;0,PPMT(EarningsRate,1,Components!$K29,0,-Components!AD29*((1+InflationRate)^Components!$K29),0),AB29)</f>
        <v>1582.0637851184774</v>
      </c>
      <c r="AD29" s="11">
        <f>IF(Components!AE29&gt;0,PPMT(EarningsRate,1,Components!$K29,0,-Components!AE29*((1+InflationRate)^Components!$K29),0),AC29)</f>
        <v>1582.0637851184774</v>
      </c>
      <c r="AE29" s="11">
        <f>IF(Components!AF29&gt;0,PPMT(EarningsRate,1,Components!$K29,0,-Components!AF29*((1+InflationRate)^Components!$K29),0),AD29)</f>
        <v>1582.0637851184774</v>
      </c>
      <c r="AF29" s="11">
        <f>IF(Components!AG29&gt;0,PPMT(EarningsRate,1,Components!$K29,0,-Components!AG29*((1+InflationRate)^Components!$K29),0),AE29)</f>
        <v>1582.0637851184774</v>
      </c>
      <c r="AG29" s="11">
        <f>IF(Components!AH29&gt;0,PPMT(EarningsRate,1,Components!$K29,0,-Components!AH29*((1+InflationRate)^Components!$K29),0),AF29)</f>
        <v>1582.0637851184774</v>
      </c>
      <c r="AH29" s="11">
        <f>IF(Components!AI29&gt;0,PPMT(EarningsRate,1,Components!$K29,0,-Components!AI29*((1+InflationRate)^Components!$K29),0),AG29)</f>
        <v>2650.4305262635953</v>
      </c>
      <c r="AI29" s="11">
        <f>IF(Components!AJ29&gt;0,PPMT(EarningsRate,1,Components!$K29,0,-Components!AJ29*((1+InflationRate)^Components!$K29),0),AH29)</f>
        <v>2650.4305262635953</v>
      </c>
      <c r="AJ29" s="11">
        <f>IF(Components!AK29&gt;0,PPMT(EarningsRate,1,Components!$K29,0,-Components!AK29*((1+InflationRate)^Components!$K29),0),AI29)</f>
        <v>2650.4305262635953</v>
      </c>
      <c r="AK29" s="11">
        <f>IF(Components!AL29&gt;0,PPMT(EarningsRate,1,Components!$K29,0,-Components!AL29*((1+InflationRate)^Components!$K29),0),AJ29)</f>
        <v>2650.4305262635953</v>
      </c>
      <c r="AL29" s="11">
        <f>IF(Components!AM29&gt;0,PPMT(EarningsRate,1,Components!$K29,0,-Components!AM29*((1+InflationRate)^Components!$K29),0),AK29)</f>
        <v>2650.4305262635953</v>
      </c>
      <c r="AM29" s="11">
        <f>IF(Components!AN29&gt;0,PPMT(EarningsRate,1,Components!$K29,0,-Components!AN29*((1+InflationRate)^Components!$K29),0),AL29)</f>
        <v>2650.4305262635953</v>
      </c>
      <c r="AN29" s="11">
        <f>IF(Components!AO29&gt;0,PPMT(EarningsRate,1,Components!$K29,0,-Components!AO29*((1+InflationRate)^Components!$K29),0),AM29)</f>
        <v>2650.4305262635953</v>
      </c>
      <c r="AO29" s="11">
        <f>IF(Components!AP29&gt;0,PPMT(EarningsRate,1,Components!$K29,0,-Components!AP29*((1+InflationRate)^Components!$K29),0),AN29)</f>
        <v>2650.4305262635953</v>
      </c>
      <c r="AP29" s="214"/>
      <c r="AQ29" s="11">
        <f t="shared" si="1"/>
        <v>52488.953338112071</v>
      </c>
    </row>
    <row r="30" spans="1:43" s="1" customFormat="1">
      <c r="A30" s="220" t="str">
        <f>Components!B30</f>
        <v>Club HVAC</v>
      </c>
      <c r="B30" s="220" t="str">
        <f>Components!C30</f>
        <v>RTU#3 Compressor #2</v>
      </c>
      <c r="C30" s="211"/>
      <c r="D30" s="211"/>
      <c r="E30" s="211"/>
      <c r="F30" s="88"/>
      <c r="G30" s="212"/>
      <c r="H30" s="212"/>
      <c r="I30" s="212"/>
      <c r="J30" s="211"/>
      <c r="K30" s="11">
        <f>IF('FF Balance'!H30&gt;=0,PPMT(EarningsRate,1,Components!K30,0,-'FF Balance'!G30,0),0)</f>
        <v>1296.4078282660714</v>
      </c>
      <c r="L30" s="11">
        <f>IF(Components!M30&gt;0,PPMT(EarningsRate,1,Components!$K30,0,-Components!M30*((1+InflationRate)^Components!$K30),0),K30)</f>
        <v>1296.4078282660714</v>
      </c>
      <c r="M30" s="11">
        <f>IF(Components!N30&gt;0,PPMT(EarningsRate,1,Components!$K30,0,-Components!N30*((1+InflationRate)^Components!$K30),0),L30)</f>
        <v>1296.4078282660714</v>
      </c>
      <c r="N30" s="11">
        <f>IF(Components!O30&gt;0,PPMT(EarningsRate,1,Components!$K30,0,-Components!O30*((1+InflationRate)^Components!$K30),0),M30)</f>
        <v>1296.4078282660714</v>
      </c>
      <c r="O30" s="11">
        <f>IF(Components!P30&gt;0,PPMT(EarningsRate,1,Components!$K30,0,-Components!P30*((1+InflationRate)^Components!$K30),0),N30)</f>
        <v>1296.4078282660714</v>
      </c>
      <c r="P30" s="11">
        <f>IF(Components!Q30&gt;0,PPMT(EarningsRate,1,Components!$K30,0,-Components!Q30*((1+InflationRate)^Components!$K30),0),O30)</f>
        <v>1296.4078282660714</v>
      </c>
      <c r="Q30" s="11">
        <f>IF(Components!R30&gt;0,PPMT(EarningsRate,1,Components!$K30,0,-Components!R30*((1+InflationRate)^Components!$K30),0),P30)</f>
        <v>1296.4078282660714</v>
      </c>
      <c r="R30" s="11">
        <f>IF(Components!S30&gt;0,PPMT(EarningsRate,1,Components!$K30,0,-Components!S30*((1+InflationRate)^Components!$K30),0),Q30)</f>
        <v>1296.4078282660714</v>
      </c>
      <c r="S30" s="11">
        <f>IF(Components!T30&gt;0,PPMT(EarningsRate,1,Components!$K30,0,-Components!T30*((1+InflationRate)^Components!$K30),0),R30)</f>
        <v>2171.9353392635089</v>
      </c>
      <c r="T30" s="11">
        <f>IF(Components!U30&gt;0,PPMT(EarningsRate,1,Components!$K30,0,-Components!U30*((1+InflationRate)^Components!$K30),0),S30)</f>
        <v>2171.9353392635089</v>
      </c>
      <c r="U30" s="11">
        <f>IF(Components!V30&gt;0,PPMT(EarningsRate,1,Components!$K30,0,-Components!V30*((1+InflationRate)^Components!$K30),0),T30)</f>
        <v>2171.9353392635089</v>
      </c>
      <c r="V30" s="11">
        <f>IF(Components!W30&gt;0,PPMT(EarningsRate,1,Components!$K30,0,-Components!W30*((1+InflationRate)^Components!$K30),0),U30)</f>
        <v>2171.9353392635089</v>
      </c>
      <c r="W30" s="11">
        <f>IF(Components!X30&gt;0,PPMT(EarningsRate,1,Components!$K30,0,-Components!X30*((1+InflationRate)^Components!$K30),0),V30)</f>
        <v>2171.9353392635089</v>
      </c>
      <c r="X30" s="11">
        <f>IF(Components!Y30&gt;0,PPMT(EarningsRate,1,Components!$K30,0,-Components!Y30*((1+InflationRate)^Components!$K30),0),W30)</f>
        <v>2171.9353392635089</v>
      </c>
      <c r="Y30" s="11">
        <f>IF(Components!Z30&gt;0,PPMT(EarningsRate,1,Components!$K30,0,-Components!Z30*((1+InflationRate)^Components!$K30),0),X30)</f>
        <v>2171.9353392635089</v>
      </c>
      <c r="Z30" s="11">
        <f>IF(Components!AA30&gt;0,PPMT(EarningsRate,1,Components!$K30,0,-Components!AA30*((1+InflationRate)^Components!$K30),0),Y30)</f>
        <v>2171.9353392635089</v>
      </c>
      <c r="AA30" s="11">
        <f>IF(Components!AB30&gt;0,PPMT(EarningsRate,1,Components!$K30,0,-Components!AB30*((1+InflationRate)^Components!$K30),0),Z30)</f>
        <v>2171.9353392635089</v>
      </c>
      <c r="AB30" s="11">
        <f>IF(Components!AC30&gt;0,PPMT(EarningsRate,1,Components!$K30,0,-Components!AC30*((1+InflationRate)^Components!$K30),0),AA30)</f>
        <v>2171.9353392635089</v>
      </c>
      <c r="AC30" s="11">
        <f>IF(Components!AD30&gt;0,PPMT(EarningsRate,1,Components!$K30,0,-Components!AD30*((1+InflationRate)^Components!$K30),0),AB30)</f>
        <v>2171.9353392635089</v>
      </c>
      <c r="AD30" s="11">
        <f>IF(Components!AE30&gt;0,PPMT(EarningsRate,1,Components!$K30,0,-Components!AE30*((1+InflationRate)^Components!$K30),0),AC30)</f>
        <v>2171.9353392635089</v>
      </c>
      <c r="AE30" s="11">
        <f>IF(Components!AF30&gt;0,PPMT(EarningsRate,1,Components!$K30,0,-Components!AF30*((1+InflationRate)^Components!$K30),0),AD30)</f>
        <v>2171.9353392635089</v>
      </c>
      <c r="AF30" s="11">
        <f>IF(Components!AG30&gt;0,PPMT(EarningsRate,1,Components!$K30,0,-Components!AG30*((1+InflationRate)^Components!$K30),0),AE30)</f>
        <v>2171.9353392635089</v>
      </c>
      <c r="AG30" s="11">
        <f>IF(Components!AH30&gt;0,PPMT(EarningsRate,1,Components!$K30,0,-Components!AH30*((1+InflationRate)^Components!$K30),0),AF30)</f>
        <v>2171.9353392635089</v>
      </c>
      <c r="AH30" s="11">
        <f>IF(Components!AI30&gt;0,PPMT(EarningsRate,1,Components!$K30,0,-Components!AI30*((1+InflationRate)^Components!$K30),0),AG30)</f>
        <v>3638.6793798165381</v>
      </c>
      <c r="AI30" s="11">
        <f>IF(Components!AJ30&gt;0,PPMT(EarningsRate,1,Components!$K30,0,-Components!AJ30*((1+InflationRate)^Components!$K30),0),AH30)</f>
        <v>3638.6793798165381</v>
      </c>
      <c r="AJ30" s="11">
        <f>IF(Components!AK30&gt;0,PPMT(EarningsRate,1,Components!$K30,0,-Components!AK30*((1+InflationRate)^Components!$K30),0),AI30)</f>
        <v>3638.6793798165381</v>
      </c>
      <c r="AK30" s="11">
        <f>IF(Components!AL30&gt;0,PPMT(EarningsRate,1,Components!$K30,0,-Components!AL30*((1+InflationRate)^Components!$K30),0),AJ30)</f>
        <v>3638.6793798165381</v>
      </c>
      <c r="AL30" s="11">
        <f>IF(Components!AM30&gt;0,PPMT(EarningsRate,1,Components!$K30,0,-Components!AM30*((1+InflationRate)^Components!$K30),0),AK30)</f>
        <v>3638.6793798165381</v>
      </c>
      <c r="AM30" s="11">
        <f>IF(Components!AN30&gt;0,PPMT(EarningsRate,1,Components!$K30,0,-Components!AN30*((1+InflationRate)^Components!$K30),0),AL30)</f>
        <v>3638.6793798165381</v>
      </c>
      <c r="AN30" s="11">
        <f>IF(Components!AO30&gt;0,PPMT(EarningsRate,1,Components!$K30,0,-Components!AO30*((1+InflationRate)^Components!$K30),0),AM30)</f>
        <v>3638.6793798165381</v>
      </c>
      <c r="AO30" s="11">
        <f>IF(Components!AP30&gt;0,PPMT(EarningsRate,1,Components!$K30,0,-Components!AP30*((1+InflationRate)^Components!$K30),0),AN30)</f>
        <v>3638.6793798165381</v>
      </c>
      <c r="AP30" s="214"/>
      <c r="AQ30" s="11">
        <f t="shared" si="1"/>
        <v>72059.727853613527</v>
      </c>
    </row>
    <row r="31" spans="1:43" s="1" customFormat="1">
      <c r="A31" s="220" t="str">
        <f>Components!B31</f>
        <v>Club HVAC</v>
      </c>
      <c r="B31" s="220" t="str">
        <f>Components!C31</f>
        <v>RTU#3 Compressor #3</v>
      </c>
      <c r="C31" s="211"/>
      <c r="D31" s="211"/>
      <c r="E31" s="211"/>
      <c r="F31" s="88"/>
      <c r="G31" s="212"/>
      <c r="H31" s="212"/>
      <c r="I31" s="212"/>
      <c r="J31" s="211"/>
      <c r="K31" s="11">
        <f>IF('FF Balance'!H31&gt;=0,PPMT(EarningsRate,1,Components!K31,0,-'FF Balance'!G31,0),0)</f>
        <v>1107.5325402049887</v>
      </c>
      <c r="L31" s="11">
        <f>IF(Components!M31&gt;0,PPMT(EarningsRate,1,Components!$K31,0,-Components!M31*((1+InflationRate)^Components!$K31),0),K31)</f>
        <v>1107.5325402049887</v>
      </c>
      <c r="M31" s="11">
        <f>IF(Components!N31&gt;0,PPMT(EarningsRate,1,Components!$K31,0,-Components!N31*((1+InflationRate)^Components!$K31),0),L31)</f>
        <v>1107.5325402049887</v>
      </c>
      <c r="N31" s="11">
        <f>IF(Components!O31&gt;0,PPMT(EarningsRate,1,Components!$K31,0,-Components!O31*((1+InflationRate)^Components!$K31),0),M31)</f>
        <v>1107.5325402049887</v>
      </c>
      <c r="O31" s="11">
        <f>IF(Components!P31&gt;0,PPMT(EarningsRate,1,Components!$K31,0,-Components!P31*((1+InflationRate)^Components!$K31),0),N31)</f>
        <v>1107.5325402049887</v>
      </c>
      <c r="P31" s="11">
        <f>IF(Components!Q31&gt;0,PPMT(EarningsRate,1,Components!$K31,0,-Components!Q31*((1+InflationRate)^Components!$K31),0),O31)</f>
        <v>1107.5325402049887</v>
      </c>
      <c r="Q31" s="11">
        <f>IF(Components!R31&gt;0,PPMT(EarningsRate,1,Components!$K31,0,-Components!R31*((1+InflationRate)^Components!$K31),0),P31)</f>
        <v>1107.5325402049887</v>
      </c>
      <c r="R31" s="11">
        <f>IF(Components!S31&gt;0,PPMT(EarningsRate,1,Components!$K31,0,-Components!S31*((1+InflationRate)^Components!$K31),0),Q31)</f>
        <v>1107.5325402049887</v>
      </c>
      <c r="S31" s="11">
        <f>IF(Components!T31&gt;0,PPMT(EarningsRate,1,Components!$K31,0,-Components!T31*((1+InflationRate)^Components!$K31),0),R31)</f>
        <v>1855.5033462523963</v>
      </c>
      <c r="T31" s="11">
        <f>IF(Components!U31&gt;0,PPMT(EarningsRate,1,Components!$K31,0,-Components!U31*((1+InflationRate)^Components!$K31),0),S31)</f>
        <v>1855.5033462523963</v>
      </c>
      <c r="U31" s="11">
        <f>IF(Components!V31&gt;0,PPMT(EarningsRate,1,Components!$K31,0,-Components!V31*((1+InflationRate)^Components!$K31),0),T31)</f>
        <v>1855.5033462523963</v>
      </c>
      <c r="V31" s="11">
        <f>IF(Components!W31&gt;0,PPMT(EarningsRate,1,Components!$K31,0,-Components!W31*((1+InflationRate)^Components!$K31),0),U31)</f>
        <v>1855.5033462523963</v>
      </c>
      <c r="W31" s="11">
        <f>IF(Components!X31&gt;0,PPMT(EarningsRate,1,Components!$K31,0,-Components!X31*((1+InflationRate)^Components!$K31),0),V31)</f>
        <v>1855.5033462523963</v>
      </c>
      <c r="X31" s="11">
        <f>IF(Components!Y31&gt;0,PPMT(EarningsRate,1,Components!$K31,0,-Components!Y31*((1+InflationRate)^Components!$K31),0),W31)</f>
        <v>1855.5033462523963</v>
      </c>
      <c r="Y31" s="11">
        <f>IF(Components!Z31&gt;0,PPMT(EarningsRate,1,Components!$K31,0,-Components!Z31*((1+InflationRate)^Components!$K31),0),X31)</f>
        <v>1855.5033462523963</v>
      </c>
      <c r="Z31" s="11">
        <f>IF(Components!AA31&gt;0,PPMT(EarningsRate,1,Components!$K31,0,-Components!AA31*((1+InflationRate)^Components!$K31),0),Y31)</f>
        <v>1855.5033462523963</v>
      </c>
      <c r="AA31" s="11">
        <f>IF(Components!AB31&gt;0,PPMT(EarningsRate,1,Components!$K31,0,-Components!AB31*((1+InflationRate)^Components!$K31),0),Z31)</f>
        <v>1855.5033462523963</v>
      </c>
      <c r="AB31" s="11">
        <f>IF(Components!AC31&gt;0,PPMT(EarningsRate,1,Components!$K31,0,-Components!AC31*((1+InflationRate)^Components!$K31),0),AA31)</f>
        <v>1855.5033462523963</v>
      </c>
      <c r="AC31" s="11">
        <f>IF(Components!AD31&gt;0,PPMT(EarningsRate,1,Components!$K31,0,-Components!AD31*((1+InflationRate)^Components!$K31),0),AB31)</f>
        <v>1855.5033462523963</v>
      </c>
      <c r="AD31" s="11">
        <f>IF(Components!AE31&gt;0,PPMT(EarningsRate,1,Components!$K31,0,-Components!AE31*((1+InflationRate)^Components!$K31),0),AC31)</f>
        <v>1855.5033462523963</v>
      </c>
      <c r="AE31" s="11">
        <f>IF(Components!AF31&gt;0,PPMT(EarningsRate,1,Components!$K31,0,-Components!AF31*((1+InflationRate)^Components!$K31),0),AD31)</f>
        <v>1855.5033462523963</v>
      </c>
      <c r="AF31" s="11">
        <f>IF(Components!AG31&gt;0,PPMT(EarningsRate,1,Components!$K31,0,-Components!AG31*((1+InflationRate)^Components!$K31),0),AE31)</f>
        <v>1855.5033462523963</v>
      </c>
      <c r="AG31" s="11">
        <f>IF(Components!AH31&gt;0,PPMT(EarningsRate,1,Components!$K31,0,-Components!AH31*((1+InflationRate)^Components!$K31),0),AF31)</f>
        <v>1855.5033462523963</v>
      </c>
      <c r="AH31" s="11">
        <f>IF(Components!AI31&gt;0,PPMT(EarningsRate,1,Components!$K31,0,-Components!AI31*((1+InflationRate)^Components!$K31),0),AG31)</f>
        <v>3108.6317465386533</v>
      </c>
      <c r="AI31" s="11">
        <f>IF(Components!AJ31&gt;0,PPMT(EarningsRate,1,Components!$K31,0,-Components!AJ31*((1+InflationRate)^Components!$K31),0),AH31)</f>
        <v>3108.6317465386533</v>
      </c>
      <c r="AJ31" s="11">
        <f>IF(Components!AK31&gt;0,PPMT(EarningsRate,1,Components!$K31,0,-Components!AK31*((1+InflationRate)^Components!$K31),0),AI31)</f>
        <v>3108.6317465386533</v>
      </c>
      <c r="AK31" s="11">
        <f>IF(Components!AL31&gt;0,PPMT(EarningsRate,1,Components!$K31,0,-Components!AL31*((1+InflationRate)^Components!$K31),0),AJ31)</f>
        <v>3108.6317465386533</v>
      </c>
      <c r="AL31" s="11">
        <f>IF(Components!AM31&gt;0,PPMT(EarningsRate,1,Components!$K31,0,-Components!AM31*((1+InflationRate)^Components!$K31),0),AK31)</f>
        <v>3108.6317465386533</v>
      </c>
      <c r="AM31" s="11">
        <f>IF(Components!AN31&gt;0,PPMT(EarningsRate,1,Components!$K31,0,-Components!AN31*((1+InflationRate)^Components!$K31),0),AL31)</f>
        <v>3108.6317465386533</v>
      </c>
      <c r="AN31" s="11">
        <f>IF(Components!AO31&gt;0,PPMT(EarningsRate,1,Components!$K31,0,-Components!AO31*((1+InflationRate)^Components!$K31),0),AM31)</f>
        <v>3108.6317465386533</v>
      </c>
      <c r="AO31" s="11">
        <f>IF(Components!AP31&gt;0,PPMT(EarningsRate,1,Components!$K31,0,-Components!AP31*((1+InflationRate)^Components!$K31),0),AN31)</f>
        <v>3108.6317465386533</v>
      </c>
      <c r="AP31" s="214"/>
      <c r="AQ31" s="11">
        <f t="shared" si="1"/>
        <v>61561.864587735072</v>
      </c>
    </row>
    <row r="32" spans="1:43" s="1" customFormat="1">
      <c r="A32" s="220" t="str">
        <f>Components!B32</f>
        <v>Club HVAC</v>
      </c>
      <c r="B32" s="220" t="str">
        <f>Components!C32</f>
        <v>RTU#3 Compressor #4</v>
      </c>
      <c r="C32" s="211"/>
      <c r="D32" s="211"/>
      <c r="E32" s="211"/>
      <c r="F32" s="88"/>
      <c r="G32" s="212"/>
      <c r="H32" s="212"/>
      <c r="I32" s="212"/>
      <c r="J32" s="211"/>
      <c r="K32" s="11">
        <f>IF('FF Balance'!H32&gt;=0,PPMT(EarningsRate,1,Components!K32,0,-'FF Balance'!G32,0),0)</f>
        <v>990.24615312024912</v>
      </c>
      <c r="L32" s="11">
        <f>IF(Components!M32&gt;0,PPMT(EarningsRate,1,Components!$K32,0,-Components!M32*((1+InflationRate)^Components!$K32),0),K32)</f>
        <v>990.24615312024912</v>
      </c>
      <c r="M32" s="11">
        <f>IF(Components!N32&gt;0,PPMT(EarningsRate,1,Components!$K32,0,-Components!N32*((1+InflationRate)^Components!$K32),0),L32)</f>
        <v>990.24615312024912</v>
      </c>
      <c r="N32" s="11">
        <f>IF(Components!O32&gt;0,PPMT(EarningsRate,1,Components!$K32,0,-Components!O32*((1+InflationRate)^Components!$K32),0),M32)</f>
        <v>990.24615312024912</v>
      </c>
      <c r="O32" s="11">
        <f>IF(Components!P32&gt;0,PPMT(EarningsRate,1,Components!$K32,0,-Components!P32*((1+InflationRate)^Components!$K32),0),N32)</f>
        <v>990.24615312024912</v>
      </c>
      <c r="P32" s="11">
        <f>IF(Components!Q32&gt;0,PPMT(EarningsRate,1,Components!$K32,0,-Components!Q32*((1+InflationRate)^Components!$K32),0),O32)</f>
        <v>990.24615312024912</v>
      </c>
      <c r="Q32" s="11">
        <f>IF(Components!R32&gt;0,PPMT(EarningsRate,1,Components!$K32,0,-Components!R32*((1+InflationRate)^Components!$K32),0),P32)</f>
        <v>990.24615312024912</v>
      </c>
      <c r="R32" s="11">
        <f>IF(Components!S32&gt;0,PPMT(EarningsRate,1,Components!$K32,0,-Components!S32*((1+InflationRate)^Components!$K32),0),Q32)</f>
        <v>990.24615312024912</v>
      </c>
      <c r="S32" s="11">
        <f>IF(Components!T32&gt;0,PPMT(EarningsRate,1,Components!$K32,0,-Components!T32*((1+InflationRate)^Components!$K32),0),R32)</f>
        <v>1659.0077347868328</v>
      </c>
      <c r="T32" s="11">
        <f>IF(Components!U32&gt;0,PPMT(EarningsRate,1,Components!$K32,0,-Components!U32*((1+InflationRate)^Components!$K32),0),S32)</f>
        <v>1659.0077347868328</v>
      </c>
      <c r="U32" s="11">
        <f>IF(Components!V32&gt;0,PPMT(EarningsRate,1,Components!$K32,0,-Components!V32*((1+InflationRate)^Components!$K32),0),T32)</f>
        <v>1659.0077347868328</v>
      </c>
      <c r="V32" s="11">
        <f>IF(Components!W32&gt;0,PPMT(EarningsRate,1,Components!$K32,0,-Components!W32*((1+InflationRate)^Components!$K32),0),U32)</f>
        <v>1659.0077347868328</v>
      </c>
      <c r="W32" s="11">
        <f>IF(Components!X32&gt;0,PPMT(EarningsRate,1,Components!$K32,0,-Components!X32*((1+InflationRate)^Components!$K32),0),V32)</f>
        <v>1659.0077347868328</v>
      </c>
      <c r="X32" s="11">
        <f>IF(Components!Y32&gt;0,PPMT(EarningsRate,1,Components!$K32,0,-Components!Y32*((1+InflationRate)^Components!$K32),0),W32)</f>
        <v>1659.0077347868328</v>
      </c>
      <c r="Y32" s="11">
        <f>IF(Components!Z32&gt;0,PPMT(EarningsRate,1,Components!$K32,0,-Components!Z32*((1+InflationRate)^Components!$K32),0),X32)</f>
        <v>1659.0077347868328</v>
      </c>
      <c r="Z32" s="11">
        <f>IF(Components!AA32&gt;0,PPMT(EarningsRate,1,Components!$K32,0,-Components!AA32*((1+InflationRate)^Components!$K32),0),Y32)</f>
        <v>1659.0077347868328</v>
      </c>
      <c r="AA32" s="11">
        <f>IF(Components!AB32&gt;0,PPMT(EarningsRate,1,Components!$K32,0,-Components!AB32*((1+InflationRate)^Components!$K32),0),Z32)</f>
        <v>1659.0077347868328</v>
      </c>
      <c r="AB32" s="11">
        <f>IF(Components!AC32&gt;0,PPMT(EarningsRate,1,Components!$K32,0,-Components!AC32*((1+InflationRate)^Components!$K32),0),AA32)</f>
        <v>1659.0077347868328</v>
      </c>
      <c r="AC32" s="11">
        <f>IF(Components!AD32&gt;0,PPMT(EarningsRate,1,Components!$K32,0,-Components!AD32*((1+InflationRate)^Components!$K32),0),AB32)</f>
        <v>1659.0077347868328</v>
      </c>
      <c r="AD32" s="11">
        <f>IF(Components!AE32&gt;0,PPMT(EarningsRate,1,Components!$K32,0,-Components!AE32*((1+InflationRate)^Components!$K32),0),AC32)</f>
        <v>1659.0077347868328</v>
      </c>
      <c r="AE32" s="11">
        <f>IF(Components!AF32&gt;0,PPMT(EarningsRate,1,Components!$K32,0,-Components!AF32*((1+InflationRate)^Components!$K32),0),AD32)</f>
        <v>1659.0077347868328</v>
      </c>
      <c r="AF32" s="11">
        <f>IF(Components!AG32&gt;0,PPMT(EarningsRate,1,Components!$K32,0,-Components!AG32*((1+InflationRate)^Components!$K32),0),AE32)</f>
        <v>1659.0077347868328</v>
      </c>
      <c r="AG32" s="11">
        <f>IF(Components!AH32&gt;0,PPMT(EarningsRate,1,Components!$K32,0,-Components!AH32*((1+InflationRate)^Components!$K32),0),AF32)</f>
        <v>1659.0077347868328</v>
      </c>
      <c r="AH32" s="11">
        <f>IF(Components!AI32&gt;0,PPMT(EarningsRate,1,Components!$K32,0,-Components!AI32*((1+InflationRate)^Components!$K32),0),AG32)</f>
        <v>2779.4078218951772</v>
      </c>
      <c r="AI32" s="11">
        <f>IF(Components!AJ32&gt;0,PPMT(EarningsRate,1,Components!$K32,0,-Components!AJ32*((1+InflationRate)^Components!$K32),0),AH32)</f>
        <v>2779.4078218951772</v>
      </c>
      <c r="AJ32" s="11">
        <f>IF(Components!AK32&gt;0,PPMT(EarningsRate,1,Components!$K32,0,-Components!AK32*((1+InflationRate)^Components!$K32),0),AI32)</f>
        <v>2779.4078218951772</v>
      </c>
      <c r="AK32" s="11">
        <f>IF(Components!AL32&gt;0,PPMT(EarningsRate,1,Components!$K32,0,-Components!AL32*((1+InflationRate)^Components!$K32),0),AJ32)</f>
        <v>2779.4078218951772</v>
      </c>
      <c r="AL32" s="11">
        <f>IF(Components!AM32&gt;0,PPMT(EarningsRate,1,Components!$K32,0,-Components!AM32*((1+InflationRate)^Components!$K32),0),AK32)</f>
        <v>2779.4078218951772</v>
      </c>
      <c r="AM32" s="11">
        <f>IF(Components!AN32&gt;0,PPMT(EarningsRate,1,Components!$K32,0,-Components!AN32*((1+InflationRate)^Components!$K32),0),AL32)</f>
        <v>2779.4078218951772</v>
      </c>
      <c r="AN32" s="11">
        <f>IF(Components!AO32&gt;0,PPMT(EarningsRate,1,Components!$K32,0,-Components!AO32*((1+InflationRate)^Components!$K32),0),AM32)</f>
        <v>2779.4078218951772</v>
      </c>
      <c r="AO32" s="11">
        <f>IF(Components!AP32&gt;0,PPMT(EarningsRate,1,Components!$K32,0,-Components!AP32*((1+InflationRate)^Components!$K32),0),AN32)</f>
        <v>2779.4078218951772</v>
      </c>
      <c r="AP32" s="214"/>
      <c r="AQ32" s="11">
        <f t="shared" si="1"/>
        <v>55042.347921925881</v>
      </c>
    </row>
    <row r="33" spans="1:43" s="1" customFormat="1">
      <c r="A33" s="220" t="str">
        <f>Components!B33</f>
        <v>Club HVAC</v>
      </c>
      <c r="B33" s="220" t="str">
        <f>Components!C33</f>
        <v>RTU#3 Evaporative Coil</v>
      </c>
      <c r="C33" s="211"/>
      <c r="D33" s="211"/>
      <c r="E33" s="211"/>
      <c r="F33" s="88"/>
      <c r="G33" s="212"/>
      <c r="H33" s="212"/>
      <c r="I33" s="212"/>
      <c r="J33" s="211"/>
      <c r="K33" s="11">
        <f>IF('FF Balance'!H33&gt;=0,PPMT(EarningsRate,1,Components!K33,0,-'FF Balance'!G33,0),0)</f>
        <v>468.11218810032534</v>
      </c>
      <c r="L33" s="11">
        <f>IF(Components!M33&gt;0,PPMT(EarningsRate,1,Components!$K33,0,-Components!M33*((1+InflationRate)^Components!$K33),0),K33)</f>
        <v>468.11218810032534</v>
      </c>
      <c r="M33" s="11">
        <f>IF(Components!N33&gt;0,PPMT(EarningsRate,1,Components!$K33,0,-Components!N33*((1+InflationRate)^Components!$K33),0),L33)</f>
        <v>468.11218810032534</v>
      </c>
      <c r="N33" s="11">
        <f>IF(Components!O33&gt;0,PPMT(EarningsRate,1,Components!$K33,0,-Components!O33*((1+InflationRate)^Components!$K33),0),M33)</f>
        <v>468.11218810032534</v>
      </c>
      <c r="O33" s="11">
        <f>IF(Components!P33&gt;0,PPMT(EarningsRate,1,Components!$K33,0,-Components!P33*((1+InflationRate)^Components!$K33),0),N33)</f>
        <v>468.11218810032534</v>
      </c>
      <c r="P33" s="11">
        <f>IF(Components!Q33&gt;0,PPMT(EarningsRate,1,Components!$K33,0,-Components!Q33*((1+InflationRate)^Components!$K33),0),O33)</f>
        <v>468.11218810032534</v>
      </c>
      <c r="Q33" s="11">
        <f>IF(Components!R33&gt;0,PPMT(EarningsRate,1,Components!$K33,0,-Components!R33*((1+InflationRate)^Components!$K33),0),P33)</f>
        <v>468.11218810032534</v>
      </c>
      <c r="R33" s="11">
        <f>IF(Components!S33&gt;0,PPMT(EarningsRate,1,Components!$K33,0,-Components!S33*((1+InflationRate)^Components!$K33),0),Q33)</f>
        <v>468.11218810032534</v>
      </c>
      <c r="S33" s="11">
        <f>IF(Components!T33&gt;0,PPMT(EarningsRate,1,Components!$K33,0,-Components!T33*((1+InflationRate)^Components!$K33),0),R33)</f>
        <v>784.25120699471483</v>
      </c>
      <c r="T33" s="11">
        <f>IF(Components!U33&gt;0,PPMT(EarningsRate,1,Components!$K33,0,-Components!U33*((1+InflationRate)^Components!$K33),0),S33)</f>
        <v>784.25120699471483</v>
      </c>
      <c r="U33" s="11">
        <f>IF(Components!V33&gt;0,PPMT(EarningsRate,1,Components!$K33,0,-Components!V33*((1+InflationRate)^Components!$K33),0),T33)</f>
        <v>784.25120699471483</v>
      </c>
      <c r="V33" s="11">
        <f>IF(Components!W33&gt;0,PPMT(EarningsRate,1,Components!$K33,0,-Components!W33*((1+InflationRate)^Components!$K33),0),U33)</f>
        <v>784.25120699471483</v>
      </c>
      <c r="W33" s="11">
        <f>IF(Components!X33&gt;0,PPMT(EarningsRate,1,Components!$K33,0,-Components!X33*((1+InflationRate)^Components!$K33),0),V33)</f>
        <v>784.25120699471483</v>
      </c>
      <c r="X33" s="11">
        <f>IF(Components!Y33&gt;0,PPMT(EarningsRate,1,Components!$K33,0,-Components!Y33*((1+InflationRate)^Components!$K33),0),W33)</f>
        <v>784.25120699471483</v>
      </c>
      <c r="Y33" s="11">
        <f>IF(Components!Z33&gt;0,PPMT(EarningsRate,1,Components!$K33,0,-Components!Z33*((1+InflationRate)^Components!$K33),0),X33)</f>
        <v>784.25120699471483</v>
      </c>
      <c r="Z33" s="11">
        <f>IF(Components!AA33&gt;0,PPMT(EarningsRate,1,Components!$K33,0,-Components!AA33*((1+InflationRate)^Components!$K33),0),Y33)</f>
        <v>784.25120699471483</v>
      </c>
      <c r="AA33" s="11">
        <f>IF(Components!AB33&gt;0,PPMT(EarningsRate,1,Components!$K33,0,-Components!AB33*((1+InflationRate)^Components!$K33),0),Z33)</f>
        <v>784.25120699471483</v>
      </c>
      <c r="AB33" s="11">
        <f>IF(Components!AC33&gt;0,PPMT(EarningsRate,1,Components!$K33,0,-Components!AC33*((1+InflationRate)^Components!$K33),0),AA33)</f>
        <v>784.25120699471483</v>
      </c>
      <c r="AC33" s="11">
        <f>IF(Components!AD33&gt;0,PPMT(EarningsRate,1,Components!$K33,0,-Components!AD33*((1+InflationRate)^Components!$K33),0),AB33)</f>
        <v>784.25120699471483</v>
      </c>
      <c r="AD33" s="11">
        <f>IF(Components!AE33&gt;0,PPMT(EarningsRate,1,Components!$K33,0,-Components!AE33*((1+InflationRate)^Components!$K33),0),AC33)</f>
        <v>784.25120699471483</v>
      </c>
      <c r="AE33" s="11">
        <f>IF(Components!AF33&gt;0,PPMT(EarningsRate,1,Components!$K33,0,-Components!AF33*((1+InflationRate)^Components!$K33),0),AD33)</f>
        <v>784.25120699471483</v>
      </c>
      <c r="AF33" s="11">
        <f>IF(Components!AG33&gt;0,PPMT(EarningsRate,1,Components!$K33,0,-Components!AG33*((1+InflationRate)^Components!$K33),0),AE33)</f>
        <v>784.25120699471483</v>
      </c>
      <c r="AG33" s="11">
        <f>IF(Components!AH33&gt;0,PPMT(EarningsRate,1,Components!$K33,0,-Components!AH33*((1+InflationRate)^Components!$K33),0),AF33)</f>
        <v>784.25120699471483</v>
      </c>
      <c r="AH33" s="11">
        <f>IF(Components!AI33&gt;0,PPMT(EarningsRate,1,Components!$K33,0,-Components!AI33*((1+InflationRate)^Components!$K33),0),AG33)</f>
        <v>1313.9141205242579</v>
      </c>
      <c r="AI33" s="11">
        <f>IF(Components!AJ33&gt;0,PPMT(EarningsRate,1,Components!$K33,0,-Components!AJ33*((1+InflationRate)^Components!$K33),0),AH33)</f>
        <v>1313.9141205242579</v>
      </c>
      <c r="AJ33" s="11">
        <f>IF(Components!AK33&gt;0,PPMT(EarningsRate,1,Components!$K33,0,-Components!AK33*((1+InflationRate)^Components!$K33),0),AI33)</f>
        <v>1313.9141205242579</v>
      </c>
      <c r="AK33" s="11">
        <f>IF(Components!AL33&gt;0,PPMT(EarningsRate,1,Components!$K33,0,-Components!AL33*((1+InflationRate)^Components!$K33),0),AJ33)</f>
        <v>1313.9141205242579</v>
      </c>
      <c r="AL33" s="11">
        <f>IF(Components!AM33&gt;0,PPMT(EarningsRate,1,Components!$K33,0,-Components!AM33*((1+InflationRate)^Components!$K33),0),AK33)</f>
        <v>1313.9141205242579</v>
      </c>
      <c r="AM33" s="11">
        <f>IF(Components!AN33&gt;0,PPMT(EarningsRate,1,Components!$K33,0,-Components!AN33*((1+InflationRate)^Components!$K33),0),AL33)</f>
        <v>1313.9141205242579</v>
      </c>
      <c r="AN33" s="11">
        <f>IF(Components!AO33&gt;0,PPMT(EarningsRate,1,Components!$K33,0,-Components!AO33*((1+InflationRate)^Components!$K33),0),AM33)</f>
        <v>1313.9141205242579</v>
      </c>
      <c r="AO33" s="11">
        <f>IF(Components!AP33&gt;0,PPMT(EarningsRate,1,Components!$K33,0,-Components!AP33*((1+InflationRate)^Components!$K33),0),AN33)</f>
        <v>1313.9141205242579</v>
      </c>
      <c r="AP33" s="214"/>
      <c r="AQ33" s="11">
        <f t="shared" si="1"/>
        <v>26019.978673917405</v>
      </c>
    </row>
    <row r="34" spans="1:43" s="1" customFormat="1">
      <c r="A34" s="220" t="str">
        <f>Components!B34</f>
        <v>Club HVAC</v>
      </c>
      <c r="B34" s="220" t="str">
        <f>Components!C34</f>
        <v>Solar Panels</v>
      </c>
      <c r="C34" s="211"/>
      <c r="D34" s="211"/>
      <c r="E34" s="211"/>
      <c r="F34" s="88"/>
      <c r="G34" s="212"/>
      <c r="H34" s="212"/>
      <c r="I34" s="212"/>
      <c r="J34" s="211"/>
      <c r="K34" s="11">
        <f>IF('FF Balance'!H34&gt;=0,PPMT(EarningsRate,1,Components!K34,0,-'FF Balance'!G34,0),0)</f>
        <v>16216.185405854967</v>
      </c>
      <c r="L34" s="11">
        <f>IF(Components!M34&gt;0,PPMT(EarningsRate,1,Components!$K34,0,-Components!M34*((1+InflationRate)^Components!$K34),0),K34)</f>
        <v>16216.185405854967</v>
      </c>
      <c r="M34" s="11">
        <f>IF(Components!N34&gt;0,PPMT(EarningsRate,1,Components!$K34,0,-Components!N34*((1+InflationRate)^Components!$K34),0),L34)</f>
        <v>16216.185405854967</v>
      </c>
      <c r="N34" s="11">
        <f>IF(Components!O34&gt;0,PPMT(EarningsRate,1,Components!$K34,0,-Components!O34*((1+InflationRate)^Components!$K34),0),M34)</f>
        <v>16216.185405854967</v>
      </c>
      <c r="O34" s="11">
        <f>IF(Components!P34&gt;0,PPMT(EarningsRate,1,Components!$K34,0,-Components!P34*((1+InflationRate)^Components!$K34),0),N34)</f>
        <v>16216.185405854967</v>
      </c>
      <c r="P34" s="11">
        <f>IF(Components!Q34&gt;0,PPMT(EarningsRate,1,Components!$K34,0,-Components!Q34*((1+InflationRate)^Components!$K34),0),O34)</f>
        <v>16216.185405854967</v>
      </c>
      <c r="Q34" s="11">
        <f>IF(Components!R34&gt;0,PPMT(EarningsRate,1,Components!$K34,0,-Components!R34*((1+InflationRate)^Components!$K34),0),P34)</f>
        <v>16216.185405854967</v>
      </c>
      <c r="R34" s="11">
        <f>IF(Components!S34&gt;0,PPMT(EarningsRate,1,Components!$K34,0,-Components!S34*((1+InflationRate)^Components!$K34),0),Q34)</f>
        <v>16216.185405854967</v>
      </c>
      <c r="S34" s="11">
        <f>IF(Components!T34&gt;0,PPMT(EarningsRate,1,Components!$K34,0,-Components!T34*((1+InflationRate)^Components!$K34),0),R34)</f>
        <v>16216.185405854967</v>
      </c>
      <c r="T34" s="11">
        <f>IF(Components!U34&gt;0,PPMT(EarningsRate,1,Components!$K34,0,-Components!U34*((1+InflationRate)^Components!$K34),0),S34)</f>
        <v>16216.185405854967</v>
      </c>
      <c r="U34" s="11">
        <f>IF(Components!V34&gt;0,PPMT(EarningsRate,1,Components!$K34,0,-Components!V34*((1+InflationRate)^Components!$K34),0),T34)</f>
        <v>16216.185405854967</v>
      </c>
      <c r="V34" s="11">
        <f>IF(Components!W34&gt;0,PPMT(EarningsRate,1,Components!$K34,0,-Components!W34*((1+InflationRate)^Components!$K34),0),U34)</f>
        <v>16216.185405854967</v>
      </c>
      <c r="W34" s="11">
        <f>IF(Components!X34&gt;0,PPMT(EarningsRate,1,Components!$K34,0,-Components!X34*((1+InflationRate)^Components!$K34),0),V34)</f>
        <v>16216.185405854967</v>
      </c>
      <c r="X34" s="11">
        <f>IF(Components!Y34&gt;0,PPMT(EarningsRate,1,Components!$K34,0,-Components!Y34*((1+InflationRate)^Components!$K34),0),W34)</f>
        <v>32266.785128467538</v>
      </c>
      <c r="Y34" s="11">
        <f>IF(Components!Z34&gt;0,PPMT(EarningsRate,1,Components!$K34,0,-Components!Z34*((1+InflationRate)^Components!$K34),0),X34)</f>
        <v>32266.785128467538</v>
      </c>
      <c r="Z34" s="11">
        <f>IF(Components!AA34&gt;0,PPMT(EarningsRate,1,Components!$K34,0,-Components!AA34*((1+InflationRate)^Components!$K34),0),Y34)</f>
        <v>32266.785128467538</v>
      </c>
      <c r="AA34" s="11">
        <f>IF(Components!AB34&gt;0,PPMT(EarningsRate,1,Components!$K34,0,-Components!AB34*((1+InflationRate)^Components!$K34),0),Z34)</f>
        <v>32266.785128467538</v>
      </c>
      <c r="AB34" s="11">
        <f>IF(Components!AC34&gt;0,PPMT(EarningsRate,1,Components!$K34,0,-Components!AC34*((1+InflationRate)^Components!$K34),0),AA34)</f>
        <v>32266.785128467538</v>
      </c>
      <c r="AC34" s="11">
        <f>IF(Components!AD34&gt;0,PPMT(EarningsRate,1,Components!$K34,0,-Components!AD34*((1+InflationRate)^Components!$K34),0),AB34)</f>
        <v>32266.785128467538</v>
      </c>
      <c r="AD34" s="11">
        <f>IF(Components!AE34&gt;0,PPMT(EarningsRate,1,Components!$K34,0,-Components!AE34*((1+InflationRate)^Components!$K34),0),AC34)</f>
        <v>32266.785128467538</v>
      </c>
      <c r="AE34" s="11">
        <f>IF(Components!AF34&gt;0,PPMT(EarningsRate,1,Components!$K34,0,-Components!AF34*((1+InflationRate)^Components!$K34),0),AD34)</f>
        <v>32266.785128467538</v>
      </c>
      <c r="AF34" s="11">
        <f>IF(Components!AG34&gt;0,PPMT(EarningsRate,1,Components!$K34,0,-Components!AG34*((1+InflationRate)^Components!$K34),0),AE34)</f>
        <v>32266.785128467538</v>
      </c>
      <c r="AG34" s="11">
        <f>IF(Components!AH34&gt;0,PPMT(EarningsRate,1,Components!$K34,0,-Components!AH34*((1+InflationRate)^Components!$K34),0),AF34)</f>
        <v>32266.785128467538</v>
      </c>
      <c r="AH34" s="11">
        <f>IF(Components!AI34&gt;0,PPMT(EarningsRate,1,Components!$K34,0,-Components!AI34*((1+InflationRate)^Components!$K34),0),AG34)</f>
        <v>32266.785128467538</v>
      </c>
      <c r="AI34" s="11">
        <f>IF(Components!AJ34&gt;0,PPMT(EarningsRate,1,Components!$K34,0,-Components!AJ34*((1+InflationRate)^Components!$K34),0),AH34)</f>
        <v>32266.785128467538</v>
      </c>
      <c r="AJ34" s="11">
        <f>IF(Components!AK34&gt;0,PPMT(EarningsRate,1,Components!$K34,0,-Components!AK34*((1+InflationRate)^Components!$K34),0),AI34)</f>
        <v>32266.785128467538</v>
      </c>
      <c r="AK34" s="11">
        <f>IF(Components!AL34&gt;0,PPMT(EarningsRate,1,Components!$K34,0,-Components!AL34*((1+InflationRate)^Components!$K34),0),AJ34)</f>
        <v>32266.785128467538</v>
      </c>
      <c r="AL34" s="11">
        <f>IF(Components!AM34&gt;0,PPMT(EarningsRate,1,Components!$K34,0,-Components!AM34*((1+InflationRate)^Components!$K34),0),AK34)</f>
        <v>32266.785128467538</v>
      </c>
      <c r="AM34" s="11">
        <f>IF(Components!AN34&gt;0,PPMT(EarningsRate,1,Components!$K34,0,-Components!AN34*((1+InflationRate)^Components!$K34),0),AL34)</f>
        <v>32266.785128467538</v>
      </c>
      <c r="AN34" s="11">
        <f>IF(Components!AO34&gt;0,PPMT(EarningsRate,1,Components!$K34,0,-Components!AO34*((1+InflationRate)^Components!$K34),0),AM34)</f>
        <v>32266.785128467538</v>
      </c>
      <c r="AO34" s="11">
        <f>IF(Components!AP34&gt;0,PPMT(EarningsRate,1,Components!$K34,0,-Components!AP34*((1+InflationRate)^Components!$K34),0),AN34)</f>
        <v>32266.785128467538</v>
      </c>
      <c r="AP34" s="214"/>
      <c r="AQ34" s="11">
        <f t="shared" si="1"/>
        <v>791612.54268852982</v>
      </c>
    </row>
    <row r="35" spans="1:43" s="1" customFormat="1">
      <c r="A35" s="220" t="str">
        <f>Components!B35</f>
        <v>Club HVAC</v>
      </c>
      <c r="B35" s="220" t="str">
        <f>Components!C35</f>
        <v>Two variable speed motors</v>
      </c>
      <c r="C35" s="211"/>
      <c r="D35" s="211"/>
      <c r="E35" s="211"/>
      <c r="F35" s="88"/>
      <c r="G35" s="212"/>
      <c r="H35" s="212"/>
      <c r="I35" s="212"/>
      <c r="J35" s="211"/>
      <c r="K35" s="11">
        <f>IF('FF Balance'!H35&gt;=0,PPMT(EarningsRate,1,Components!K35,0,-'FF Balance'!G35,0),0)</f>
        <v>2090.917816858801</v>
      </c>
      <c r="L35" s="11">
        <f>IF(Components!M35&gt;0,PPMT(EarningsRate,1,Components!$K35,0,-Components!M35*((1+InflationRate)^Components!$K35),0),K35)</f>
        <v>2090.917816858801</v>
      </c>
      <c r="M35" s="11">
        <f>IF(Components!N35&gt;0,PPMT(EarningsRate,1,Components!$K35,0,-Components!N35*((1+InflationRate)^Components!$K35),0),L35)</f>
        <v>2483.3544573162571</v>
      </c>
      <c r="N35" s="11">
        <f>IF(Components!O35&gt;0,PPMT(EarningsRate,1,Components!$K35,0,-Components!O35*((1+InflationRate)^Components!$K35),0),M35)</f>
        <v>2483.3544573162571</v>
      </c>
      <c r="O35" s="11">
        <f>IF(Components!P35&gt;0,PPMT(EarningsRate,1,Components!$K35,0,-Components!P35*((1+InflationRate)^Components!$K35),0),N35)</f>
        <v>2483.3544573162571</v>
      </c>
      <c r="P35" s="11">
        <f>IF(Components!Q35&gt;0,PPMT(EarningsRate,1,Components!$K35,0,-Components!Q35*((1+InflationRate)^Components!$K35),0),O35)</f>
        <v>2483.3544573162571</v>
      </c>
      <c r="Q35" s="11">
        <f>IF(Components!R35&gt;0,PPMT(EarningsRate,1,Components!$K35,0,-Components!R35*((1+InflationRate)^Components!$K35),0),P35)</f>
        <v>2483.3544573162571</v>
      </c>
      <c r="R35" s="11">
        <f>IF(Components!S35&gt;0,PPMT(EarningsRate,1,Components!$K35,0,-Components!S35*((1+InflationRate)^Components!$K35),0),Q35)</f>
        <v>2949.5955445515488</v>
      </c>
      <c r="S35" s="11">
        <f>IF(Components!T35&gt;0,PPMT(EarningsRate,1,Components!$K35,0,-Components!T35*((1+InflationRate)^Components!$K35),0),R35)</f>
        <v>2949.5955445515488</v>
      </c>
      <c r="T35" s="11">
        <f>IF(Components!U35&gt;0,PPMT(EarningsRate,1,Components!$K35,0,-Components!U35*((1+InflationRate)^Components!$K35),0),S35)</f>
        <v>2949.5955445515488</v>
      </c>
      <c r="U35" s="11">
        <f>IF(Components!V35&gt;0,PPMT(EarningsRate,1,Components!$K35,0,-Components!V35*((1+InflationRate)^Components!$K35),0),T35)</f>
        <v>2949.5955445515488</v>
      </c>
      <c r="V35" s="11">
        <f>IF(Components!W35&gt;0,PPMT(EarningsRate,1,Components!$K35,0,-Components!W35*((1+InflationRate)^Components!$K35),0),U35)</f>
        <v>2949.5955445515488</v>
      </c>
      <c r="W35" s="11">
        <f>IF(Components!X35&gt;0,PPMT(EarningsRate,1,Components!$K35,0,-Components!X35*((1+InflationRate)^Components!$K35),0),V35)</f>
        <v>3503.0717741469357</v>
      </c>
      <c r="X35" s="11">
        <f>IF(Components!Y35&gt;0,PPMT(EarningsRate,1,Components!$K35,0,-Components!Y35*((1+InflationRate)^Components!$K35),0),W35)</f>
        <v>3503.0717741469357</v>
      </c>
      <c r="Y35" s="11">
        <f>IF(Components!Z35&gt;0,PPMT(EarningsRate,1,Components!$K35,0,-Components!Z35*((1+InflationRate)^Components!$K35),0),X35)</f>
        <v>3503.0717741469357</v>
      </c>
      <c r="Z35" s="11">
        <f>IF(Components!AA35&gt;0,PPMT(EarningsRate,1,Components!$K35,0,-Components!AA35*((1+InflationRate)^Components!$K35),0),Y35)</f>
        <v>3503.0717741469357</v>
      </c>
      <c r="AA35" s="11">
        <f>IF(Components!AB35&gt;0,PPMT(EarningsRate,1,Components!$K35,0,-Components!AB35*((1+InflationRate)^Components!$K35),0),Z35)</f>
        <v>3503.0717741469357</v>
      </c>
      <c r="AB35" s="11">
        <f>IF(Components!AC35&gt;0,PPMT(EarningsRate,1,Components!$K35,0,-Components!AC35*((1+InflationRate)^Components!$K35),0),AA35)</f>
        <v>4160.63797778557</v>
      </c>
      <c r="AC35" s="11">
        <f>IF(Components!AD35&gt;0,PPMT(EarningsRate,1,Components!$K35,0,-Components!AD35*((1+InflationRate)^Components!$K35),0),AB35)</f>
        <v>4160.63797778557</v>
      </c>
      <c r="AD35" s="11">
        <f>IF(Components!AE35&gt;0,PPMT(EarningsRate,1,Components!$K35,0,-Components!AE35*((1+InflationRate)^Components!$K35),0),AC35)</f>
        <v>4160.63797778557</v>
      </c>
      <c r="AE35" s="11">
        <f>IF(Components!AF35&gt;0,PPMT(EarningsRate,1,Components!$K35,0,-Components!AF35*((1+InflationRate)^Components!$K35),0),AD35)</f>
        <v>4160.63797778557</v>
      </c>
      <c r="AF35" s="11">
        <f>IF(Components!AG35&gt;0,PPMT(EarningsRate,1,Components!$K35,0,-Components!AG35*((1+InflationRate)^Components!$K35),0),AE35)</f>
        <v>4160.63797778557</v>
      </c>
      <c r="AG35" s="11">
        <f>IF(Components!AH35&gt;0,PPMT(EarningsRate,1,Components!$K35,0,-Components!AH35*((1+InflationRate)^Components!$K35),0),AF35)</f>
        <v>4941.4266671077867</v>
      </c>
      <c r="AH35" s="11">
        <f>IF(Components!AI35&gt;0,PPMT(EarningsRate,1,Components!$K35,0,-Components!AI35*((1+InflationRate)^Components!$K35),0),AG35)</f>
        <v>4941.4266671077867</v>
      </c>
      <c r="AI35" s="11">
        <f>IF(Components!AJ35&gt;0,PPMT(EarningsRate,1,Components!$K35,0,-Components!AJ35*((1+InflationRate)^Components!$K35),0),AH35)</f>
        <v>4941.4266671077867</v>
      </c>
      <c r="AJ35" s="11">
        <f>IF(Components!AK35&gt;0,PPMT(EarningsRate,1,Components!$K35,0,-Components!AK35*((1+InflationRate)^Components!$K35),0),AI35)</f>
        <v>4941.4266671077867</v>
      </c>
      <c r="AK35" s="11">
        <f>IF(Components!AL35&gt;0,PPMT(EarningsRate,1,Components!$K35,0,-Components!AL35*((1+InflationRate)^Components!$K35),0),AJ35)</f>
        <v>4941.4266671077867</v>
      </c>
      <c r="AL35" s="11">
        <f>IF(Components!AM35&gt;0,PPMT(EarningsRate,1,Components!$K35,0,-Components!AM35*((1+InflationRate)^Components!$K35),0),AK35)</f>
        <v>5868.8979456725683</v>
      </c>
      <c r="AM35" s="11">
        <f>IF(Components!AN35&gt;0,PPMT(EarningsRate,1,Components!$K35,0,-Components!AN35*((1+InflationRate)^Components!$K35),0),AL35)</f>
        <v>5868.8979456725683</v>
      </c>
      <c r="AN35" s="11">
        <f>IF(Components!AO35&gt;0,PPMT(EarningsRate,1,Components!$K35,0,-Components!AO35*((1+InflationRate)^Components!$K35),0),AM35)</f>
        <v>5868.8979456725683</v>
      </c>
      <c r="AO35" s="11">
        <f>IF(Components!AP35&gt;0,PPMT(EarningsRate,1,Components!$K35,0,-Components!AP35*((1+InflationRate)^Components!$K35),0),AN35)</f>
        <v>5868.8979456725683</v>
      </c>
      <c r="AP35" s="214"/>
      <c r="AQ35" s="11">
        <f t="shared" si="1"/>
        <v>117847.85962094839</v>
      </c>
    </row>
    <row r="36" spans="1:43" s="1" customFormat="1">
      <c r="A36" s="220" t="str">
        <f>Components!B36</f>
        <v>Club HVAC</v>
      </c>
      <c r="B36" s="220" t="str">
        <f>Components!C36</f>
        <v>Unit #1 Blower Motor</v>
      </c>
      <c r="C36" s="211"/>
      <c r="D36" s="211"/>
      <c r="E36" s="211"/>
      <c r="F36" s="88"/>
      <c r="G36" s="212"/>
      <c r="H36" s="212"/>
      <c r="I36" s="212"/>
      <c r="J36" s="211"/>
      <c r="K36" s="11">
        <f>IF('FF Balance'!H36&gt;=0,PPMT(EarningsRate,1,Components!K36,0,-'FF Balance'!G36,0),0)</f>
        <v>432.46125986751912</v>
      </c>
      <c r="L36" s="11">
        <f>IF(Components!M36&gt;0,PPMT(EarningsRate,1,Components!$K36,0,-Components!M36*((1+InflationRate)^Components!$K36),0),K36)</f>
        <v>432.46125986751912</v>
      </c>
      <c r="M36" s="11">
        <f>IF(Components!N36&gt;0,PPMT(EarningsRate,1,Components!$K36,0,-Components!N36*((1+InflationRate)^Components!$K36),0),L36)</f>
        <v>432.46125986751912</v>
      </c>
      <c r="N36" s="11">
        <f>IF(Components!O36&gt;0,PPMT(EarningsRate,1,Components!$K36,0,-Components!O36*((1+InflationRate)^Components!$K36),0),M36)</f>
        <v>432.46125986751912</v>
      </c>
      <c r="O36" s="11">
        <f>IF(Components!P36&gt;0,PPMT(EarningsRate,1,Components!$K36,0,-Components!P36*((1+InflationRate)^Components!$K36),0),N36)</f>
        <v>432.46125986751912</v>
      </c>
      <c r="P36" s="11">
        <f>IF(Components!Q36&gt;0,PPMT(EarningsRate,1,Components!$K36,0,-Components!Q36*((1+InflationRate)^Components!$K36),0),O36)</f>
        <v>432.46125986751912</v>
      </c>
      <c r="Q36" s="11">
        <f>IF(Components!R36&gt;0,PPMT(EarningsRate,1,Components!$K36,0,-Components!R36*((1+InflationRate)^Components!$K36),0),P36)</f>
        <v>432.46125986751912</v>
      </c>
      <c r="R36" s="11">
        <f>IF(Components!S36&gt;0,PPMT(EarningsRate,1,Components!$K36,0,-Components!S36*((1+InflationRate)^Components!$K36),0),Q36)</f>
        <v>432.46125986751912</v>
      </c>
      <c r="S36" s="11">
        <f>IF(Components!T36&gt;0,PPMT(EarningsRate,1,Components!$K36,0,-Components!T36*((1+InflationRate)^Components!$K36),0),R36)</f>
        <v>724.5234660646538</v>
      </c>
      <c r="T36" s="11">
        <f>IF(Components!U36&gt;0,PPMT(EarningsRate,1,Components!$K36,0,-Components!U36*((1+InflationRate)^Components!$K36),0),S36)</f>
        <v>724.5234660646538</v>
      </c>
      <c r="U36" s="11">
        <f>IF(Components!V36&gt;0,PPMT(EarningsRate,1,Components!$K36,0,-Components!V36*((1+InflationRate)^Components!$K36),0),T36)</f>
        <v>724.5234660646538</v>
      </c>
      <c r="V36" s="11">
        <f>IF(Components!W36&gt;0,PPMT(EarningsRate,1,Components!$K36,0,-Components!W36*((1+InflationRate)^Components!$K36),0),U36)</f>
        <v>724.5234660646538</v>
      </c>
      <c r="W36" s="11">
        <f>IF(Components!X36&gt;0,PPMT(EarningsRate,1,Components!$K36,0,-Components!X36*((1+InflationRate)^Components!$K36),0),V36)</f>
        <v>724.5234660646538</v>
      </c>
      <c r="X36" s="11">
        <f>IF(Components!Y36&gt;0,PPMT(EarningsRate,1,Components!$K36,0,-Components!Y36*((1+InflationRate)^Components!$K36),0),W36)</f>
        <v>724.5234660646538</v>
      </c>
      <c r="Y36" s="11">
        <f>IF(Components!Z36&gt;0,PPMT(EarningsRate,1,Components!$K36,0,-Components!Z36*((1+InflationRate)^Components!$K36),0),X36)</f>
        <v>724.5234660646538</v>
      </c>
      <c r="Z36" s="11">
        <f>IF(Components!AA36&gt;0,PPMT(EarningsRate,1,Components!$K36,0,-Components!AA36*((1+InflationRate)^Components!$K36),0),Y36)</f>
        <v>724.5234660646538</v>
      </c>
      <c r="AA36" s="11">
        <f>IF(Components!AB36&gt;0,PPMT(EarningsRate,1,Components!$K36,0,-Components!AB36*((1+InflationRate)^Components!$K36),0),Z36)</f>
        <v>724.5234660646538</v>
      </c>
      <c r="AB36" s="11">
        <f>IF(Components!AC36&gt;0,PPMT(EarningsRate,1,Components!$K36,0,-Components!AC36*((1+InflationRate)^Components!$K36),0),AA36)</f>
        <v>724.5234660646538</v>
      </c>
      <c r="AC36" s="11">
        <f>IF(Components!AD36&gt;0,PPMT(EarningsRate,1,Components!$K36,0,-Components!AD36*((1+InflationRate)^Components!$K36),0),AB36)</f>
        <v>724.5234660646538</v>
      </c>
      <c r="AD36" s="11">
        <f>IF(Components!AE36&gt;0,PPMT(EarningsRate,1,Components!$K36,0,-Components!AE36*((1+InflationRate)^Components!$K36),0),AC36)</f>
        <v>724.5234660646538</v>
      </c>
      <c r="AE36" s="11">
        <f>IF(Components!AF36&gt;0,PPMT(EarningsRate,1,Components!$K36,0,-Components!AF36*((1+InflationRate)^Components!$K36),0),AD36)</f>
        <v>724.5234660646538</v>
      </c>
      <c r="AF36" s="11">
        <f>IF(Components!AG36&gt;0,PPMT(EarningsRate,1,Components!$K36,0,-Components!AG36*((1+InflationRate)^Components!$K36),0),AE36)</f>
        <v>724.5234660646538</v>
      </c>
      <c r="AG36" s="11">
        <f>IF(Components!AH36&gt;0,PPMT(EarningsRate,1,Components!$K36,0,-Components!AH36*((1+InflationRate)^Components!$K36),0),AF36)</f>
        <v>724.5234660646538</v>
      </c>
      <c r="AH36" s="11">
        <f>IF(Components!AI36&gt;0,PPMT(EarningsRate,1,Components!$K36,0,-Components!AI36*((1+InflationRate)^Components!$K36),0),AG36)</f>
        <v>1213.7908060183104</v>
      </c>
      <c r="AI36" s="11">
        <f>IF(Components!AJ36&gt;0,PPMT(EarningsRate,1,Components!$K36,0,-Components!AJ36*((1+InflationRate)^Components!$K36),0),AH36)</f>
        <v>1213.7908060183104</v>
      </c>
      <c r="AJ36" s="11">
        <f>IF(Components!AK36&gt;0,PPMT(EarningsRate,1,Components!$K36,0,-Components!AK36*((1+InflationRate)^Components!$K36),0),AI36)</f>
        <v>1213.7908060183104</v>
      </c>
      <c r="AK36" s="11">
        <f>IF(Components!AL36&gt;0,PPMT(EarningsRate,1,Components!$K36,0,-Components!AL36*((1+InflationRate)^Components!$K36),0),AJ36)</f>
        <v>1213.7908060183104</v>
      </c>
      <c r="AL36" s="11">
        <f>IF(Components!AM36&gt;0,PPMT(EarningsRate,1,Components!$K36,0,-Components!AM36*((1+InflationRate)^Components!$K36),0),AK36)</f>
        <v>1213.7908060183104</v>
      </c>
      <c r="AM36" s="11">
        <f>IF(Components!AN36&gt;0,PPMT(EarningsRate,1,Components!$K36,0,-Components!AN36*((1+InflationRate)^Components!$K36),0),AL36)</f>
        <v>1213.7908060183104</v>
      </c>
      <c r="AN36" s="11">
        <f>IF(Components!AO36&gt;0,PPMT(EarningsRate,1,Components!$K36,0,-Components!AO36*((1+InflationRate)^Components!$K36),0),AM36)</f>
        <v>1213.7908060183104</v>
      </c>
      <c r="AO36" s="11">
        <f>IF(Components!AP36&gt;0,PPMT(EarningsRate,1,Components!$K36,0,-Components!AP36*((1+InflationRate)^Components!$K36),0),AN36)</f>
        <v>1213.7908060183104</v>
      </c>
      <c r="AP36" s="214"/>
      <c r="AQ36" s="11">
        <f t="shared" si="1"/>
        <v>24037.86861805644</v>
      </c>
    </row>
    <row r="37" spans="1:43" s="1" customFormat="1">
      <c r="A37" s="220" t="str">
        <f>Components!B37</f>
        <v>Club HVAC</v>
      </c>
      <c r="B37" s="220" t="str">
        <f>Components!C37</f>
        <v>Unit #1 Compressor 1</v>
      </c>
      <c r="C37" s="211"/>
      <c r="D37" s="211"/>
      <c r="E37" s="211"/>
      <c r="F37" s="88"/>
      <c r="G37" s="212"/>
      <c r="H37" s="212"/>
      <c r="I37" s="212"/>
      <c r="J37" s="211"/>
      <c r="K37" s="11">
        <f>IF('FF Balance'!H37&gt;=0,PPMT(EarningsRate,1,Components!K37,0,-'FF Balance'!G37,0),0)</f>
        <v>553.01995437459323</v>
      </c>
      <c r="L37" s="11">
        <f>IF(Components!M37&gt;0,PPMT(EarningsRate,1,Components!$K37,0,-Components!M37*((1+InflationRate)^Components!$K37),0),K37)</f>
        <v>553.01995437459323</v>
      </c>
      <c r="M37" s="11">
        <f>IF(Components!N37&gt;0,PPMT(EarningsRate,1,Components!$K37,0,-Components!N37*((1+InflationRate)^Components!$K37),0),L37)</f>
        <v>553.01995437459323</v>
      </c>
      <c r="N37" s="11">
        <f>IF(Components!O37&gt;0,PPMT(EarningsRate,1,Components!$K37,0,-Components!O37*((1+InflationRate)^Components!$K37),0),M37)</f>
        <v>553.01995437459323</v>
      </c>
      <c r="O37" s="11">
        <f>IF(Components!P37&gt;0,PPMT(EarningsRate,1,Components!$K37,0,-Components!P37*((1+InflationRate)^Components!$K37),0),N37)</f>
        <v>553.01995437459323</v>
      </c>
      <c r="P37" s="11">
        <f>IF(Components!Q37&gt;0,PPMT(EarningsRate,1,Components!$K37,0,-Components!Q37*((1+InflationRate)^Components!$K37),0),O37)</f>
        <v>553.01995437459323</v>
      </c>
      <c r="Q37" s="11">
        <f>IF(Components!R37&gt;0,PPMT(EarningsRate,1,Components!$K37,0,-Components!R37*((1+InflationRate)^Components!$K37),0),P37)</f>
        <v>553.01995437459323</v>
      </c>
      <c r="R37" s="11">
        <f>IF(Components!S37&gt;0,PPMT(EarningsRate,1,Components!$K37,0,-Components!S37*((1+InflationRate)^Components!$K37),0),Q37)</f>
        <v>553.01995437459323</v>
      </c>
      <c r="S37" s="11">
        <f>IF(Components!T37&gt;0,PPMT(EarningsRate,1,Components!$K37,0,-Components!T37*((1+InflationRate)^Components!$K37),0),R37)</f>
        <v>926.50133394408738</v>
      </c>
      <c r="T37" s="11">
        <f>IF(Components!U37&gt;0,PPMT(EarningsRate,1,Components!$K37,0,-Components!U37*((1+InflationRate)^Components!$K37),0),S37)</f>
        <v>926.50133394408738</v>
      </c>
      <c r="U37" s="11">
        <f>IF(Components!V37&gt;0,PPMT(EarningsRate,1,Components!$K37,0,-Components!V37*((1+InflationRate)^Components!$K37),0),T37)</f>
        <v>926.50133394408738</v>
      </c>
      <c r="V37" s="11">
        <f>IF(Components!W37&gt;0,PPMT(EarningsRate,1,Components!$K37,0,-Components!W37*((1+InflationRate)^Components!$K37),0),U37)</f>
        <v>926.50133394408738</v>
      </c>
      <c r="W37" s="11">
        <f>IF(Components!X37&gt;0,PPMT(EarningsRate,1,Components!$K37,0,-Components!X37*((1+InflationRate)^Components!$K37),0),V37)</f>
        <v>926.50133394408738</v>
      </c>
      <c r="X37" s="11">
        <f>IF(Components!Y37&gt;0,PPMT(EarningsRate,1,Components!$K37,0,-Components!Y37*((1+InflationRate)^Components!$K37),0),W37)</f>
        <v>926.50133394408738</v>
      </c>
      <c r="Y37" s="11">
        <f>IF(Components!Z37&gt;0,PPMT(EarningsRate,1,Components!$K37,0,-Components!Z37*((1+InflationRate)^Components!$K37),0),X37)</f>
        <v>926.50133394408738</v>
      </c>
      <c r="Z37" s="11">
        <f>IF(Components!AA37&gt;0,PPMT(EarningsRate,1,Components!$K37,0,-Components!AA37*((1+InflationRate)^Components!$K37),0),Y37)</f>
        <v>926.50133394408738</v>
      </c>
      <c r="AA37" s="11">
        <f>IF(Components!AB37&gt;0,PPMT(EarningsRate,1,Components!$K37,0,-Components!AB37*((1+InflationRate)^Components!$K37),0),Z37)</f>
        <v>926.50133394408738</v>
      </c>
      <c r="AB37" s="11">
        <f>IF(Components!AC37&gt;0,PPMT(EarningsRate,1,Components!$K37,0,-Components!AC37*((1+InflationRate)^Components!$K37),0),AA37)</f>
        <v>926.50133394408738</v>
      </c>
      <c r="AC37" s="11">
        <f>IF(Components!AD37&gt;0,PPMT(EarningsRate,1,Components!$K37,0,-Components!AD37*((1+InflationRate)^Components!$K37),0),AB37)</f>
        <v>926.50133394408738</v>
      </c>
      <c r="AD37" s="11">
        <f>IF(Components!AE37&gt;0,PPMT(EarningsRate,1,Components!$K37,0,-Components!AE37*((1+InflationRate)^Components!$K37),0),AC37)</f>
        <v>926.50133394408738</v>
      </c>
      <c r="AE37" s="11">
        <f>IF(Components!AF37&gt;0,PPMT(EarningsRate,1,Components!$K37,0,-Components!AF37*((1+InflationRate)^Components!$K37),0),AD37)</f>
        <v>926.50133394408738</v>
      </c>
      <c r="AF37" s="11">
        <f>IF(Components!AG37&gt;0,PPMT(EarningsRate,1,Components!$K37,0,-Components!AG37*((1+InflationRate)^Components!$K37),0),AE37)</f>
        <v>926.50133394408738</v>
      </c>
      <c r="AG37" s="11">
        <f>IF(Components!AH37&gt;0,PPMT(EarningsRate,1,Components!$K37,0,-Components!AH37*((1+InflationRate)^Components!$K37),0),AF37)</f>
        <v>926.50133394408738</v>
      </c>
      <c r="AH37" s="11">
        <f>IF(Components!AI37&gt;0,PPMT(EarningsRate,1,Components!$K37,0,-Components!AI37*((1+InflationRate)^Components!$K37),0),AG37)</f>
        <v>1552.2480046219896</v>
      </c>
      <c r="AI37" s="11">
        <f>IF(Components!AJ37&gt;0,PPMT(EarningsRate,1,Components!$K37,0,-Components!AJ37*((1+InflationRate)^Components!$K37),0),AH37)</f>
        <v>1552.2480046219896</v>
      </c>
      <c r="AJ37" s="11">
        <f>IF(Components!AK37&gt;0,PPMT(EarningsRate,1,Components!$K37,0,-Components!AK37*((1+InflationRate)^Components!$K37),0),AI37)</f>
        <v>1552.2480046219896</v>
      </c>
      <c r="AK37" s="11">
        <f>IF(Components!AL37&gt;0,PPMT(EarningsRate,1,Components!$K37,0,-Components!AL37*((1+InflationRate)^Components!$K37),0),AJ37)</f>
        <v>1552.2480046219896</v>
      </c>
      <c r="AL37" s="11">
        <f>IF(Components!AM37&gt;0,PPMT(EarningsRate,1,Components!$K37,0,-Components!AM37*((1+InflationRate)^Components!$K37),0),AK37)</f>
        <v>1552.2480046219896</v>
      </c>
      <c r="AM37" s="11">
        <f>IF(Components!AN37&gt;0,PPMT(EarningsRate,1,Components!$K37,0,-Components!AN37*((1+InflationRate)^Components!$K37),0),AL37)</f>
        <v>1552.2480046219896</v>
      </c>
      <c r="AN37" s="11">
        <f>IF(Components!AO37&gt;0,PPMT(EarningsRate,1,Components!$K37,0,-Components!AO37*((1+InflationRate)^Components!$K37),0),AM37)</f>
        <v>1552.2480046219896</v>
      </c>
      <c r="AO37" s="11">
        <f>IF(Components!AP37&gt;0,PPMT(EarningsRate,1,Components!$K37,0,-Components!AP37*((1+InflationRate)^Components!$K37),0),AN37)</f>
        <v>1552.2480046219896</v>
      </c>
      <c r="AP37" s="214"/>
      <c r="AQ37" s="11">
        <f t="shared" si="1"/>
        <v>30739.663781133971</v>
      </c>
    </row>
    <row r="38" spans="1:43" s="1" customFormat="1">
      <c r="A38" s="220" t="str">
        <f>Components!B38</f>
        <v>Club HVAC</v>
      </c>
      <c r="B38" s="220" t="str">
        <f>Components!C38</f>
        <v>Unit #1 Compressor 2</v>
      </c>
      <c r="C38" s="211"/>
      <c r="D38" s="211"/>
      <c r="E38" s="211"/>
      <c r="F38" s="88"/>
      <c r="G38" s="212"/>
      <c r="H38" s="212"/>
      <c r="I38" s="212"/>
      <c r="J38" s="211"/>
      <c r="K38" s="11">
        <f>IF('FF Balance'!H38&gt;=0,PPMT(EarningsRate,1,Components!K38,0,-'FF Balance'!G38,0),0)</f>
        <v>458.81194595263673</v>
      </c>
      <c r="L38" s="11">
        <f>IF(Components!M38&gt;0,PPMT(EarningsRate,1,Components!$K38,0,-Components!M38*((1+InflationRate)^Components!$K38),0),K38)</f>
        <v>458.81194595263673</v>
      </c>
      <c r="M38" s="11">
        <f>IF(Components!N38&gt;0,PPMT(EarningsRate,1,Components!$K38,0,-Components!N38*((1+InflationRate)^Components!$K38),0),L38)</f>
        <v>458.81194595263673</v>
      </c>
      <c r="N38" s="11">
        <f>IF(Components!O38&gt;0,PPMT(EarningsRate,1,Components!$K38,0,-Components!O38*((1+InflationRate)^Components!$K38),0),M38)</f>
        <v>458.81194595263673</v>
      </c>
      <c r="O38" s="11">
        <f>IF(Components!P38&gt;0,PPMT(EarningsRate,1,Components!$K38,0,-Components!P38*((1+InflationRate)^Components!$K38),0),N38)</f>
        <v>458.81194595263673</v>
      </c>
      <c r="P38" s="11">
        <f>IF(Components!Q38&gt;0,PPMT(EarningsRate,1,Components!$K38,0,-Components!Q38*((1+InflationRate)^Components!$K38),0),O38)</f>
        <v>458.81194595263673</v>
      </c>
      <c r="Q38" s="11">
        <f>IF(Components!R38&gt;0,PPMT(EarningsRate,1,Components!$K38,0,-Components!R38*((1+InflationRate)^Components!$K38),0),P38)</f>
        <v>458.81194595263673</v>
      </c>
      <c r="R38" s="11">
        <f>IF(Components!S38&gt;0,PPMT(EarningsRate,1,Components!$K38,0,-Components!S38*((1+InflationRate)^Components!$K38),0),Q38)</f>
        <v>458.81194595263673</v>
      </c>
      <c r="S38" s="11">
        <f>IF(Components!T38&gt;0,PPMT(EarningsRate,1,Components!$K38,0,-Components!T38*((1+InflationRate)^Components!$K38),0),R38)</f>
        <v>768.67005718687278</v>
      </c>
      <c r="T38" s="11">
        <f>IF(Components!U38&gt;0,PPMT(EarningsRate,1,Components!$K38,0,-Components!U38*((1+InflationRate)^Components!$K38),0),S38)</f>
        <v>768.67005718687278</v>
      </c>
      <c r="U38" s="11">
        <f>IF(Components!V38&gt;0,PPMT(EarningsRate,1,Components!$K38,0,-Components!V38*((1+InflationRate)^Components!$K38),0),T38)</f>
        <v>768.67005718687278</v>
      </c>
      <c r="V38" s="11">
        <f>IF(Components!W38&gt;0,PPMT(EarningsRate,1,Components!$K38,0,-Components!W38*((1+InflationRate)^Components!$K38),0),U38)</f>
        <v>768.67005718687278</v>
      </c>
      <c r="W38" s="11">
        <f>IF(Components!X38&gt;0,PPMT(EarningsRate,1,Components!$K38,0,-Components!X38*((1+InflationRate)^Components!$K38),0),V38)</f>
        <v>768.67005718687278</v>
      </c>
      <c r="X38" s="11">
        <f>IF(Components!Y38&gt;0,PPMT(EarningsRate,1,Components!$K38,0,-Components!Y38*((1+InflationRate)^Components!$K38),0),W38)</f>
        <v>768.67005718687278</v>
      </c>
      <c r="Y38" s="11">
        <f>IF(Components!Z38&gt;0,PPMT(EarningsRate,1,Components!$K38,0,-Components!Z38*((1+InflationRate)^Components!$K38),0),X38)</f>
        <v>768.67005718687278</v>
      </c>
      <c r="Z38" s="11">
        <f>IF(Components!AA38&gt;0,PPMT(EarningsRate,1,Components!$K38,0,-Components!AA38*((1+InflationRate)^Components!$K38),0),Y38)</f>
        <v>768.67005718687278</v>
      </c>
      <c r="AA38" s="11">
        <f>IF(Components!AB38&gt;0,PPMT(EarningsRate,1,Components!$K38,0,-Components!AB38*((1+InflationRate)^Components!$K38),0),Z38)</f>
        <v>768.67005718687278</v>
      </c>
      <c r="AB38" s="11">
        <f>IF(Components!AC38&gt;0,PPMT(EarningsRate,1,Components!$K38,0,-Components!AC38*((1+InflationRate)^Components!$K38),0),AA38)</f>
        <v>768.67005718687278</v>
      </c>
      <c r="AC38" s="11">
        <f>IF(Components!AD38&gt;0,PPMT(EarningsRate,1,Components!$K38,0,-Components!AD38*((1+InflationRate)^Components!$K38),0),AB38)</f>
        <v>768.67005718687278</v>
      </c>
      <c r="AD38" s="11">
        <f>IF(Components!AE38&gt;0,PPMT(EarningsRate,1,Components!$K38,0,-Components!AE38*((1+InflationRate)^Components!$K38),0),AC38)</f>
        <v>768.67005718687278</v>
      </c>
      <c r="AE38" s="11">
        <f>IF(Components!AF38&gt;0,PPMT(EarningsRate,1,Components!$K38,0,-Components!AF38*((1+InflationRate)^Components!$K38),0),AD38)</f>
        <v>768.67005718687278</v>
      </c>
      <c r="AF38" s="11">
        <f>IF(Components!AG38&gt;0,PPMT(EarningsRate,1,Components!$K38,0,-Components!AG38*((1+InflationRate)^Components!$K38),0),AE38)</f>
        <v>768.67005718687278</v>
      </c>
      <c r="AG38" s="11">
        <f>IF(Components!AH38&gt;0,PPMT(EarningsRate,1,Components!$K38,0,-Components!AH38*((1+InflationRate)^Components!$K38),0),AF38)</f>
        <v>768.67005718687278</v>
      </c>
      <c r="AH38" s="11">
        <f>IF(Components!AI38&gt;0,PPMT(EarningsRate,1,Components!$K38,0,-Components!AI38*((1+InflationRate)^Components!$K38),0),AG38)</f>
        <v>1287.7531776370172</v>
      </c>
      <c r="AI38" s="11">
        <f>IF(Components!AJ38&gt;0,PPMT(EarningsRate,1,Components!$K38,0,-Components!AJ38*((1+InflationRate)^Components!$K38),0),AH38)</f>
        <v>1287.7531776370172</v>
      </c>
      <c r="AJ38" s="11">
        <f>IF(Components!AK38&gt;0,PPMT(EarningsRate,1,Components!$K38,0,-Components!AK38*((1+InflationRate)^Components!$K38),0),AI38)</f>
        <v>1287.7531776370172</v>
      </c>
      <c r="AK38" s="11">
        <f>IF(Components!AL38&gt;0,PPMT(EarningsRate,1,Components!$K38,0,-Components!AL38*((1+InflationRate)^Components!$K38),0),AJ38)</f>
        <v>1287.7531776370172</v>
      </c>
      <c r="AL38" s="11">
        <f>IF(Components!AM38&gt;0,PPMT(EarningsRate,1,Components!$K38,0,-Components!AM38*((1+InflationRate)^Components!$K38),0),AK38)</f>
        <v>1287.7531776370172</v>
      </c>
      <c r="AM38" s="11">
        <f>IF(Components!AN38&gt;0,PPMT(EarningsRate,1,Components!$K38,0,-Components!AN38*((1+InflationRate)^Components!$K38),0),AL38)</f>
        <v>1287.7531776370172</v>
      </c>
      <c r="AN38" s="11">
        <f>IF(Components!AO38&gt;0,PPMT(EarningsRate,1,Components!$K38,0,-Components!AO38*((1+InflationRate)^Components!$K38),0),AM38)</f>
        <v>1287.7531776370172</v>
      </c>
      <c r="AO38" s="11">
        <f>IF(Components!AP38&gt;0,PPMT(EarningsRate,1,Components!$K38,0,-Components!AP38*((1+InflationRate)^Components!$K38),0),AN38)</f>
        <v>1287.7531776370172</v>
      </c>
      <c r="AP38" s="214"/>
      <c r="AQ38" s="11">
        <f t="shared" si="1"/>
        <v>25502.571946520322</v>
      </c>
    </row>
    <row r="39" spans="1:43" s="1" customFormat="1">
      <c r="A39" s="220" t="str">
        <f>Components!B39</f>
        <v>Club HVAC</v>
      </c>
      <c r="B39" s="220" t="str">
        <f>Components!C39</f>
        <v>Unit #1 Condensing Coil</v>
      </c>
      <c r="C39" s="211"/>
      <c r="D39" s="211"/>
      <c r="E39" s="211"/>
      <c r="F39" s="88"/>
      <c r="G39" s="212"/>
      <c r="H39" s="212"/>
      <c r="I39" s="212"/>
      <c r="J39" s="211"/>
      <c r="K39" s="11">
        <f>IF('FF Balance'!H39&gt;=0,PPMT(EarningsRate,1,Components!K39,0,-'FF Balance'!G39,0),0)</f>
        <v>1208.4573901780534</v>
      </c>
      <c r="L39" s="11">
        <f>IF(Components!M39&gt;0,PPMT(EarningsRate,1,Components!$K39,0,-Components!M39*((1+InflationRate)^Components!$K39),0),K39)</f>
        <v>1208.4573901780534</v>
      </c>
      <c r="M39" s="11">
        <f>IF(Components!N39&gt;0,PPMT(EarningsRate,1,Components!$K39,0,-Components!N39*((1+InflationRate)^Components!$K39),0),L39)</f>
        <v>1208.4573901780534</v>
      </c>
      <c r="N39" s="11">
        <f>IF(Components!O39&gt;0,PPMT(EarningsRate,1,Components!$K39,0,-Components!O39*((1+InflationRate)^Components!$K39),0),M39)</f>
        <v>1208.4573901780534</v>
      </c>
      <c r="O39" s="11">
        <f>IF(Components!P39&gt;0,PPMT(EarningsRate,1,Components!$K39,0,-Components!P39*((1+InflationRate)^Components!$K39),0),N39)</f>
        <v>1208.4573901780534</v>
      </c>
      <c r="P39" s="11">
        <f>IF(Components!Q39&gt;0,PPMT(EarningsRate,1,Components!$K39,0,-Components!Q39*((1+InflationRate)^Components!$K39),0),O39)</f>
        <v>1208.4573901780534</v>
      </c>
      <c r="Q39" s="11">
        <f>IF(Components!R39&gt;0,PPMT(EarningsRate,1,Components!$K39,0,-Components!R39*((1+InflationRate)^Components!$K39),0),P39)</f>
        <v>1208.4573901780534</v>
      </c>
      <c r="R39" s="11">
        <f>IF(Components!S39&gt;0,PPMT(EarningsRate,1,Components!$K39,0,-Components!S39*((1+InflationRate)^Components!$K39),0),Q39)</f>
        <v>1208.4573901780534</v>
      </c>
      <c r="S39" s="11">
        <f>IF(Components!T39&gt;0,PPMT(EarningsRate,1,Components!$K39,0,-Components!T39*((1+InflationRate)^Components!$K39),0),R39)</f>
        <v>2024.5876756486075</v>
      </c>
      <c r="T39" s="11">
        <f>IF(Components!U39&gt;0,PPMT(EarningsRate,1,Components!$K39,0,-Components!U39*((1+InflationRate)^Components!$K39),0),S39)</f>
        <v>2024.5876756486075</v>
      </c>
      <c r="U39" s="11">
        <f>IF(Components!V39&gt;0,PPMT(EarningsRate,1,Components!$K39,0,-Components!V39*((1+InflationRate)^Components!$K39),0),T39)</f>
        <v>2024.5876756486075</v>
      </c>
      <c r="V39" s="11">
        <f>IF(Components!W39&gt;0,PPMT(EarningsRate,1,Components!$K39,0,-Components!W39*((1+InflationRate)^Components!$K39),0),U39)</f>
        <v>2024.5876756486075</v>
      </c>
      <c r="W39" s="11">
        <f>IF(Components!X39&gt;0,PPMT(EarningsRate,1,Components!$K39,0,-Components!X39*((1+InflationRate)^Components!$K39),0),V39)</f>
        <v>2024.5876756486075</v>
      </c>
      <c r="X39" s="11">
        <f>IF(Components!Y39&gt;0,PPMT(EarningsRate,1,Components!$K39,0,-Components!Y39*((1+InflationRate)^Components!$K39),0),W39)</f>
        <v>2024.5876756486075</v>
      </c>
      <c r="Y39" s="11">
        <f>IF(Components!Z39&gt;0,PPMT(EarningsRate,1,Components!$K39,0,-Components!Z39*((1+InflationRate)^Components!$K39),0),X39)</f>
        <v>2024.5876756486075</v>
      </c>
      <c r="Z39" s="11">
        <f>IF(Components!AA39&gt;0,PPMT(EarningsRate,1,Components!$K39,0,-Components!AA39*((1+InflationRate)^Components!$K39),0),Y39)</f>
        <v>2024.5876756486075</v>
      </c>
      <c r="AA39" s="11">
        <f>IF(Components!AB39&gt;0,PPMT(EarningsRate,1,Components!$K39,0,-Components!AB39*((1+InflationRate)^Components!$K39),0),Z39)</f>
        <v>2024.5876756486075</v>
      </c>
      <c r="AB39" s="11">
        <f>IF(Components!AC39&gt;0,PPMT(EarningsRate,1,Components!$K39,0,-Components!AC39*((1+InflationRate)^Components!$K39),0),AA39)</f>
        <v>2024.5876756486075</v>
      </c>
      <c r="AC39" s="11">
        <f>IF(Components!AD39&gt;0,PPMT(EarningsRate,1,Components!$K39,0,-Components!AD39*((1+InflationRate)^Components!$K39),0),AB39)</f>
        <v>2024.5876756486075</v>
      </c>
      <c r="AD39" s="11">
        <f>IF(Components!AE39&gt;0,PPMT(EarningsRate,1,Components!$K39,0,-Components!AE39*((1+InflationRate)^Components!$K39),0),AC39)</f>
        <v>2024.5876756486075</v>
      </c>
      <c r="AE39" s="11">
        <f>IF(Components!AF39&gt;0,PPMT(EarningsRate,1,Components!$K39,0,-Components!AF39*((1+InflationRate)^Components!$K39),0),AD39)</f>
        <v>2024.5876756486075</v>
      </c>
      <c r="AF39" s="11">
        <f>IF(Components!AG39&gt;0,PPMT(EarningsRate,1,Components!$K39,0,-Components!AG39*((1+InflationRate)^Components!$K39),0),AE39)</f>
        <v>2024.5876756486075</v>
      </c>
      <c r="AG39" s="11">
        <f>IF(Components!AH39&gt;0,PPMT(EarningsRate,1,Components!$K39,0,-Components!AH39*((1+InflationRate)^Components!$K39),0),AF39)</f>
        <v>2024.5876756486075</v>
      </c>
      <c r="AH39" s="11">
        <f>IF(Components!AI39&gt;0,PPMT(EarningsRate,1,Components!$K39,0,-Components!AI39*((1+InflationRate)^Components!$K39),0),AG39)</f>
        <v>3391.8816612552878</v>
      </c>
      <c r="AI39" s="11">
        <f>IF(Components!AJ39&gt;0,PPMT(EarningsRate,1,Components!$K39,0,-Components!AJ39*((1+InflationRate)^Components!$K39),0),AH39)</f>
        <v>3391.8816612552878</v>
      </c>
      <c r="AJ39" s="11">
        <f>IF(Components!AK39&gt;0,PPMT(EarningsRate,1,Components!$K39,0,-Components!AK39*((1+InflationRate)^Components!$K39),0),AI39)</f>
        <v>3391.8816612552878</v>
      </c>
      <c r="AK39" s="11">
        <f>IF(Components!AL39&gt;0,PPMT(EarningsRate,1,Components!$K39,0,-Components!AL39*((1+InflationRate)^Components!$K39),0),AJ39)</f>
        <v>3391.8816612552878</v>
      </c>
      <c r="AL39" s="11">
        <f>IF(Components!AM39&gt;0,PPMT(EarningsRate,1,Components!$K39,0,-Components!AM39*((1+InflationRate)^Components!$K39),0),AK39)</f>
        <v>3391.8816612552878</v>
      </c>
      <c r="AM39" s="11">
        <f>IF(Components!AN39&gt;0,PPMT(EarningsRate,1,Components!$K39,0,-Components!AN39*((1+InflationRate)^Components!$K39),0),AL39)</f>
        <v>3391.8816612552878</v>
      </c>
      <c r="AN39" s="11">
        <f>IF(Components!AO39&gt;0,PPMT(EarningsRate,1,Components!$K39,0,-Components!AO39*((1+InflationRate)^Components!$K39),0),AM39)</f>
        <v>3391.8816612552878</v>
      </c>
      <c r="AO39" s="11">
        <f>IF(Components!AP39&gt;0,PPMT(EarningsRate,1,Components!$K39,0,-Components!AP39*((1+InflationRate)^Components!$K39),0),AN39)</f>
        <v>3391.8816612552878</v>
      </c>
      <c r="AP39" s="214"/>
      <c r="AQ39" s="11">
        <f t="shared" si="1"/>
        <v>67171.527646195871</v>
      </c>
    </row>
    <row r="40" spans="1:43" s="1" customFormat="1">
      <c r="A40" s="220" t="str">
        <f>Components!B40</f>
        <v>Club HVAC</v>
      </c>
      <c r="B40" s="220" t="str">
        <f>Components!C40</f>
        <v>Unit #1 Motherboard</v>
      </c>
      <c r="C40" s="211"/>
      <c r="D40" s="211"/>
      <c r="E40" s="211"/>
      <c r="F40" s="88"/>
      <c r="G40" s="212"/>
      <c r="H40" s="212"/>
      <c r="I40" s="212"/>
      <c r="J40" s="211"/>
      <c r="K40" s="11">
        <f>IF('FF Balance'!H40&gt;=0,PPMT(EarningsRate,1,Components!K40,0,-'FF Balance'!G40,0),0)</f>
        <v>403.46976428367503</v>
      </c>
      <c r="L40" s="11">
        <f>IF(Components!M40&gt;0,PPMT(EarningsRate,1,Components!$K40,0,-Components!M40*((1+InflationRate)^Components!$K40),0),K40)</f>
        <v>403.46976428367503</v>
      </c>
      <c r="M40" s="11">
        <f>IF(Components!N40&gt;0,PPMT(EarningsRate,1,Components!$K40,0,-Components!N40*((1+InflationRate)^Components!$K40),0),L40)</f>
        <v>403.46976428367503</v>
      </c>
      <c r="N40" s="11">
        <f>IF(Components!O40&gt;0,PPMT(EarningsRate,1,Components!$K40,0,-Components!O40*((1+InflationRate)^Components!$K40),0),M40)</f>
        <v>403.46976428367503</v>
      </c>
      <c r="O40" s="11">
        <f>IF(Components!P40&gt;0,PPMT(EarningsRate,1,Components!$K40,0,-Components!P40*((1+InflationRate)^Components!$K40),0),N40)</f>
        <v>403.46976428367503</v>
      </c>
      <c r="P40" s="11">
        <f>IF(Components!Q40&gt;0,PPMT(EarningsRate,1,Components!$K40,0,-Components!Q40*((1+InflationRate)^Components!$K40),0),O40)</f>
        <v>403.46976428367503</v>
      </c>
      <c r="Q40" s="11">
        <f>IF(Components!R40&gt;0,PPMT(EarningsRate,1,Components!$K40,0,-Components!R40*((1+InflationRate)^Components!$K40),0),P40)</f>
        <v>403.46976428367503</v>
      </c>
      <c r="R40" s="11">
        <f>IF(Components!S40&gt;0,PPMT(EarningsRate,1,Components!$K40,0,-Components!S40*((1+InflationRate)^Components!$K40),0),Q40)</f>
        <v>403.46976428367503</v>
      </c>
      <c r="S40" s="11">
        <f>IF(Components!T40&gt;0,PPMT(EarningsRate,1,Components!$K40,0,-Components!T40*((1+InflationRate)^Components!$K40),0),R40)</f>
        <v>675.95259783650431</v>
      </c>
      <c r="T40" s="11">
        <f>IF(Components!U40&gt;0,PPMT(EarningsRate,1,Components!$K40,0,-Components!U40*((1+InflationRate)^Components!$K40),0),S40)</f>
        <v>675.95259783650431</v>
      </c>
      <c r="U40" s="11">
        <f>IF(Components!V40&gt;0,PPMT(EarningsRate,1,Components!$K40,0,-Components!V40*((1+InflationRate)^Components!$K40),0),T40)</f>
        <v>675.95259783650431</v>
      </c>
      <c r="V40" s="11">
        <f>IF(Components!W40&gt;0,PPMT(EarningsRate,1,Components!$K40,0,-Components!W40*((1+InflationRate)^Components!$K40),0),U40)</f>
        <v>675.95259783650431</v>
      </c>
      <c r="W40" s="11">
        <f>IF(Components!X40&gt;0,PPMT(EarningsRate,1,Components!$K40,0,-Components!X40*((1+InflationRate)^Components!$K40),0),V40)</f>
        <v>675.95259783650431</v>
      </c>
      <c r="X40" s="11">
        <f>IF(Components!Y40&gt;0,PPMT(EarningsRate,1,Components!$K40,0,-Components!Y40*((1+InflationRate)^Components!$K40),0),W40)</f>
        <v>675.95259783650431</v>
      </c>
      <c r="Y40" s="11">
        <f>IF(Components!Z40&gt;0,PPMT(EarningsRate,1,Components!$K40,0,-Components!Z40*((1+InflationRate)^Components!$K40),0),X40)</f>
        <v>675.95259783650431</v>
      </c>
      <c r="Z40" s="11">
        <f>IF(Components!AA40&gt;0,PPMT(EarningsRate,1,Components!$K40,0,-Components!AA40*((1+InflationRate)^Components!$K40),0),Y40)</f>
        <v>675.95259783650431</v>
      </c>
      <c r="AA40" s="11">
        <f>IF(Components!AB40&gt;0,PPMT(EarningsRate,1,Components!$K40,0,-Components!AB40*((1+InflationRate)^Components!$K40),0),Z40)</f>
        <v>675.95259783650431</v>
      </c>
      <c r="AB40" s="11">
        <f>IF(Components!AC40&gt;0,PPMT(EarningsRate,1,Components!$K40,0,-Components!AC40*((1+InflationRate)^Components!$K40),0),AA40)</f>
        <v>675.95259783650431</v>
      </c>
      <c r="AC40" s="11">
        <f>IF(Components!AD40&gt;0,PPMT(EarningsRate,1,Components!$K40,0,-Components!AD40*((1+InflationRate)^Components!$K40),0),AB40)</f>
        <v>675.95259783650431</v>
      </c>
      <c r="AD40" s="11">
        <f>IF(Components!AE40&gt;0,PPMT(EarningsRate,1,Components!$K40,0,-Components!AE40*((1+InflationRate)^Components!$K40),0),AC40)</f>
        <v>675.95259783650431</v>
      </c>
      <c r="AE40" s="11">
        <f>IF(Components!AF40&gt;0,PPMT(EarningsRate,1,Components!$K40,0,-Components!AF40*((1+InflationRate)^Components!$K40),0),AD40)</f>
        <v>675.95259783650431</v>
      </c>
      <c r="AF40" s="11">
        <f>IF(Components!AG40&gt;0,PPMT(EarningsRate,1,Components!$K40,0,-Components!AG40*((1+InflationRate)^Components!$K40),0),AE40)</f>
        <v>675.95259783650431</v>
      </c>
      <c r="AG40" s="11">
        <f>IF(Components!AH40&gt;0,PPMT(EarningsRate,1,Components!$K40,0,-Components!AH40*((1+InflationRate)^Components!$K40),0),AF40)</f>
        <v>675.95259783650431</v>
      </c>
      <c r="AH40" s="11">
        <f>IF(Components!AI40&gt;0,PPMT(EarningsRate,1,Components!$K40,0,-Components!AI40*((1+InflationRate)^Components!$K40),0),AG40)</f>
        <v>1132.5187591811095</v>
      </c>
      <c r="AI40" s="11">
        <f>IF(Components!AJ40&gt;0,PPMT(EarningsRate,1,Components!$K40,0,-Components!AJ40*((1+InflationRate)^Components!$K40),0),AH40)</f>
        <v>1132.5187591811095</v>
      </c>
      <c r="AJ40" s="11">
        <f>IF(Components!AK40&gt;0,PPMT(EarningsRate,1,Components!$K40,0,-Components!AK40*((1+InflationRate)^Components!$K40),0),AI40)</f>
        <v>1132.5187591811095</v>
      </c>
      <c r="AK40" s="11">
        <f>IF(Components!AL40&gt;0,PPMT(EarningsRate,1,Components!$K40,0,-Components!AL40*((1+InflationRate)^Components!$K40),0),AJ40)</f>
        <v>1132.5187591811095</v>
      </c>
      <c r="AL40" s="11">
        <f>IF(Components!AM40&gt;0,PPMT(EarningsRate,1,Components!$K40,0,-Components!AM40*((1+InflationRate)^Components!$K40),0),AK40)</f>
        <v>1132.5187591811095</v>
      </c>
      <c r="AM40" s="11">
        <f>IF(Components!AN40&gt;0,PPMT(EarningsRate,1,Components!$K40,0,-Components!AN40*((1+InflationRate)^Components!$K40),0),AL40)</f>
        <v>1132.5187591811095</v>
      </c>
      <c r="AN40" s="11">
        <f>IF(Components!AO40&gt;0,PPMT(EarningsRate,1,Components!$K40,0,-Components!AO40*((1+InflationRate)^Components!$K40),0),AM40)</f>
        <v>1132.5187591811095</v>
      </c>
      <c r="AO40" s="11">
        <f>IF(Components!AP40&gt;0,PPMT(EarningsRate,1,Components!$K40,0,-Components!AP40*((1+InflationRate)^Components!$K40),0),AN40)</f>
        <v>1132.5187591811095</v>
      </c>
      <c r="AP40" s="214"/>
      <c r="AQ40" s="11">
        <f t="shared" si="1"/>
        <v>22427.197255265834</v>
      </c>
    </row>
    <row r="41" spans="1:43" s="1" customFormat="1">
      <c r="A41" s="220" t="str">
        <f>Components!B41</f>
        <v>Club HVAC</v>
      </c>
      <c r="B41" s="220" t="str">
        <f>Components!C41</f>
        <v>Unit #1 Outdoor Coil</v>
      </c>
      <c r="C41" s="211"/>
      <c r="D41" s="211"/>
      <c r="E41" s="211"/>
      <c r="F41" s="88"/>
      <c r="G41" s="212"/>
      <c r="H41" s="212"/>
      <c r="I41" s="212"/>
      <c r="J41" s="211"/>
      <c r="K41" s="11">
        <f>IF('FF Balance'!H41&gt;=0,PPMT(EarningsRate,1,Components!K41,0,-'FF Balance'!G41,0),0)</f>
        <v>397.95850967763732</v>
      </c>
      <c r="L41" s="11">
        <f>IF(Components!M41&gt;0,PPMT(EarningsRate,1,Components!$K41,0,-Components!M41*((1+InflationRate)^Components!$K41),0),K41)</f>
        <v>397.95850967763732</v>
      </c>
      <c r="M41" s="11">
        <f>IF(Components!N41&gt;0,PPMT(EarningsRate,1,Components!$K41,0,-Components!N41*((1+InflationRate)^Components!$K41),0),L41)</f>
        <v>397.95850967763732</v>
      </c>
      <c r="N41" s="11">
        <f>IF(Components!O41&gt;0,PPMT(EarningsRate,1,Components!$K41,0,-Components!O41*((1+InflationRate)^Components!$K41),0),M41)</f>
        <v>397.95850967763732</v>
      </c>
      <c r="O41" s="11">
        <f>IF(Components!P41&gt;0,PPMT(EarningsRate,1,Components!$K41,0,-Components!P41*((1+InflationRate)^Components!$K41),0),N41)</f>
        <v>397.95850967763732</v>
      </c>
      <c r="P41" s="11">
        <f>IF(Components!Q41&gt;0,PPMT(EarningsRate,1,Components!$K41,0,-Components!Q41*((1+InflationRate)^Components!$K41),0),O41)</f>
        <v>397.95850967763732</v>
      </c>
      <c r="Q41" s="11">
        <f>IF(Components!R41&gt;0,PPMT(EarningsRate,1,Components!$K41,0,-Components!R41*((1+InflationRate)^Components!$K41),0),P41)</f>
        <v>397.95850967763732</v>
      </c>
      <c r="R41" s="11">
        <f>IF(Components!S41&gt;0,PPMT(EarningsRate,1,Components!$K41,0,-Components!S41*((1+InflationRate)^Components!$K41),0),Q41)</f>
        <v>397.95850967763732</v>
      </c>
      <c r="S41" s="11">
        <f>IF(Components!T41&gt;0,PPMT(EarningsRate,1,Components!$K41,0,-Components!T41*((1+InflationRate)^Components!$K41),0),R41)</f>
        <v>666.7193238763017</v>
      </c>
      <c r="T41" s="11">
        <f>IF(Components!U41&gt;0,PPMT(EarningsRate,1,Components!$K41,0,-Components!U41*((1+InflationRate)^Components!$K41),0),S41)</f>
        <v>666.7193238763017</v>
      </c>
      <c r="U41" s="11">
        <f>IF(Components!V41&gt;0,PPMT(EarningsRate,1,Components!$K41,0,-Components!V41*((1+InflationRate)^Components!$K41),0),T41)</f>
        <v>666.7193238763017</v>
      </c>
      <c r="V41" s="11">
        <f>IF(Components!W41&gt;0,PPMT(EarningsRate,1,Components!$K41,0,-Components!W41*((1+InflationRate)^Components!$K41),0),U41)</f>
        <v>666.7193238763017</v>
      </c>
      <c r="W41" s="11">
        <f>IF(Components!X41&gt;0,PPMT(EarningsRate,1,Components!$K41,0,-Components!X41*((1+InflationRate)^Components!$K41),0),V41)</f>
        <v>666.7193238763017</v>
      </c>
      <c r="X41" s="11">
        <f>IF(Components!Y41&gt;0,PPMT(EarningsRate,1,Components!$K41,0,-Components!Y41*((1+InflationRate)^Components!$K41),0),W41)</f>
        <v>666.7193238763017</v>
      </c>
      <c r="Y41" s="11">
        <f>IF(Components!Z41&gt;0,PPMT(EarningsRate,1,Components!$K41,0,-Components!Z41*((1+InflationRate)^Components!$K41),0),X41)</f>
        <v>666.7193238763017</v>
      </c>
      <c r="Z41" s="11">
        <f>IF(Components!AA41&gt;0,PPMT(EarningsRate,1,Components!$K41,0,-Components!AA41*((1+InflationRate)^Components!$K41),0),Y41)</f>
        <v>666.7193238763017</v>
      </c>
      <c r="AA41" s="11">
        <f>IF(Components!AB41&gt;0,PPMT(EarningsRate,1,Components!$K41,0,-Components!AB41*((1+InflationRate)^Components!$K41),0),Z41)</f>
        <v>666.7193238763017</v>
      </c>
      <c r="AB41" s="11">
        <f>IF(Components!AC41&gt;0,PPMT(EarningsRate,1,Components!$K41,0,-Components!AC41*((1+InflationRate)^Components!$K41),0),AA41)</f>
        <v>666.7193238763017</v>
      </c>
      <c r="AC41" s="11">
        <f>IF(Components!AD41&gt;0,PPMT(EarningsRate,1,Components!$K41,0,-Components!AD41*((1+InflationRate)^Components!$K41),0),AB41)</f>
        <v>666.7193238763017</v>
      </c>
      <c r="AD41" s="11">
        <f>IF(Components!AE41&gt;0,PPMT(EarningsRate,1,Components!$K41,0,-Components!AE41*((1+InflationRate)^Components!$K41),0),AC41)</f>
        <v>666.7193238763017</v>
      </c>
      <c r="AE41" s="11">
        <f>IF(Components!AF41&gt;0,PPMT(EarningsRate,1,Components!$K41,0,-Components!AF41*((1+InflationRate)^Components!$K41),0),AD41)</f>
        <v>666.7193238763017</v>
      </c>
      <c r="AF41" s="11">
        <f>IF(Components!AG41&gt;0,PPMT(EarningsRate,1,Components!$K41,0,-Components!AG41*((1+InflationRate)^Components!$K41),0),AE41)</f>
        <v>666.7193238763017</v>
      </c>
      <c r="AG41" s="11">
        <f>IF(Components!AH41&gt;0,PPMT(EarningsRate,1,Components!$K41,0,-Components!AH41*((1+InflationRate)^Components!$K41),0),AF41)</f>
        <v>666.7193238763017</v>
      </c>
      <c r="AH41" s="11">
        <f>IF(Components!AI41&gt;0,PPMT(EarningsRate,1,Components!$K41,0,-Components!AI41*((1+InflationRate)^Components!$K41),0),AG41)</f>
        <v>1116.9376093732676</v>
      </c>
      <c r="AI41" s="11">
        <f>IF(Components!AJ41&gt;0,PPMT(EarningsRate,1,Components!$K41,0,-Components!AJ41*((1+InflationRate)^Components!$K41),0),AH41)</f>
        <v>1116.9376093732676</v>
      </c>
      <c r="AJ41" s="11">
        <f>IF(Components!AK41&gt;0,PPMT(EarningsRate,1,Components!$K41,0,-Components!AK41*((1+InflationRate)^Components!$K41),0),AI41)</f>
        <v>1116.9376093732676</v>
      </c>
      <c r="AK41" s="11">
        <f>IF(Components!AL41&gt;0,PPMT(EarningsRate,1,Components!$K41,0,-Components!AL41*((1+InflationRate)^Components!$K41),0),AJ41)</f>
        <v>1116.9376093732676</v>
      </c>
      <c r="AL41" s="11">
        <f>IF(Components!AM41&gt;0,PPMT(EarningsRate,1,Components!$K41,0,-Components!AM41*((1+InflationRate)^Components!$K41),0),AK41)</f>
        <v>1116.9376093732676</v>
      </c>
      <c r="AM41" s="11">
        <f>IF(Components!AN41&gt;0,PPMT(EarningsRate,1,Components!$K41,0,-Components!AN41*((1+InflationRate)^Components!$K41),0),AL41)</f>
        <v>1116.9376093732676</v>
      </c>
      <c r="AN41" s="11">
        <f>IF(Components!AO41&gt;0,PPMT(EarningsRate,1,Components!$K41,0,-Components!AO41*((1+InflationRate)^Components!$K41),0),AM41)</f>
        <v>1116.9376093732676</v>
      </c>
      <c r="AO41" s="11">
        <f>IF(Components!AP41&gt;0,PPMT(EarningsRate,1,Components!$K41,0,-Components!AP41*((1+InflationRate)^Components!$K41),0),AN41)</f>
        <v>1116.9376093732676</v>
      </c>
      <c r="AP41" s="214"/>
      <c r="AQ41" s="11">
        <f t="shared" si="1"/>
        <v>22119.958910551766</v>
      </c>
    </row>
    <row r="42" spans="1:43" s="1" customFormat="1">
      <c r="A42" s="220" t="str">
        <f>Components!B42</f>
        <v>Clubhouse Equip</v>
      </c>
      <c r="B42" s="220" t="str">
        <f>Components!C42</f>
        <v>Auditorium chairs</v>
      </c>
      <c r="C42" s="211"/>
      <c r="D42" s="211"/>
      <c r="E42" s="211"/>
      <c r="F42" s="88"/>
      <c r="G42" s="212"/>
      <c r="H42" s="212"/>
      <c r="I42" s="212"/>
      <c r="J42" s="211"/>
      <c r="K42" s="11">
        <f>IF('FF Balance'!H42&gt;=0,PPMT(EarningsRate,1,Components!K42,0,-'FF Balance'!G42,0),0)</f>
        <v>2648.1114470617204</v>
      </c>
      <c r="L42" s="11">
        <f>IF(Components!M42&gt;0,PPMT(EarningsRate,1,Components!$K42,0,-Components!M42*((1+InflationRate)^Components!$K42),0),K42)</f>
        <v>2648.1114470617204</v>
      </c>
      <c r="M42" s="11">
        <f>IF(Components!N42&gt;0,PPMT(EarningsRate,1,Components!$K42,0,-Components!N42*((1+InflationRate)^Components!$K42),0),L42)</f>
        <v>2648.1114470617204</v>
      </c>
      <c r="N42" s="11">
        <f>IF(Components!O42&gt;0,PPMT(EarningsRate,1,Components!$K42,0,-Components!O42*((1+InflationRate)^Components!$K42),0),M42)</f>
        <v>2648.1114470617204</v>
      </c>
      <c r="O42" s="11">
        <f>IF(Components!P42&gt;0,PPMT(EarningsRate,1,Components!$K42,0,-Components!P42*((1+InflationRate)^Components!$K42),0),N42)</f>
        <v>2648.1114470617204</v>
      </c>
      <c r="P42" s="11">
        <f>IF(Components!Q42&gt;0,PPMT(EarningsRate,1,Components!$K42,0,-Components!Q42*((1+InflationRate)^Components!$K42),0),O42)</f>
        <v>2648.1114470617204</v>
      </c>
      <c r="Q42" s="11">
        <f>IF(Components!R42&gt;0,PPMT(EarningsRate,1,Components!$K42,0,-Components!R42*((1+InflationRate)^Components!$K42),0),P42)</f>
        <v>2648.1114470617204</v>
      </c>
      <c r="R42" s="11">
        <f>IF(Components!S42&gt;0,PPMT(EarningsRate,1,Components!$K42,0,-Components!S42*((1+InflationRate)^Components!$K42),0),Q42)</f>
        <v>2648.1114470617204</v>
      </c>
      <c r="S42" s="11">
        <f>IF(Components!T42&gt;0,PPMT(EarningsRate,1,Components!$K42,0,-Components!T42*((1+InflationRate)^Components!$K42),0),R42)</f>
        <v>2648.1114470617204</v>
      </c>
      <c r="T42" s="11">
        <f>IF(Components!U42&gt;0,PPMT(EarningsRate,1,Components!$K42,0,-Components!U42*((1+InflationRate)^Components!$K42),0),S42)</f>
        <v>2648.1114470617204</v>
      </c>
      <c r="U42" s="11">
        <f>IF(Components!V42&gt;0,PPMT(EarningsRate,1,Components!$K42,0,-Components!V42*((1+InflationRate)^Components!$K42),0),T42)</f>
        <v>3735.4227252118658</v>
      </c>
      <c r="V42" s="11">
        <f>IF(Components!W42&gt;0,PPMT(EarningsRate,1,Components!$K42,0,-Components!W42*((1+InflationRate)^Components!$K42),0),U42)</f>
        <v>3735.4227252118658</v>
      </c>
      <c r="W42" s="11">
        <f>IF(Components!X42&gt;0,PPMT(EarningsRate,1,Components!$K42,0,-Components!X42*((1+InflationRate)^Components!$K42),0),V42)</f>
        <v>3735.4227252118658</v>
      </c>
      <c r="X42" s="11">
        <f>IF(Components!Y42&gt;0,PPMT(EarningsRate,1,Components!$K42,0,-Components!Y42*((1+InflationRate)^Components!$K42),0),W42)</f>
        <v>3735.4227252118658</v>
      </c>
      <c r="Y42" s="11">
        <f>IF(Components!Z42&gt;0,PPMT(EarningsRate,1,Components!$K42,0,-Components!Z42*((1+InflationRate)^Components!$K42),0),X42)</f>
        <v>3735.4227252118658</v>
      </c>
      <c r="Z42" s="11">
        <f>IF(Components!AA42&gt;0,PPMT(EarningsRate,1,Components!$K42,0,-Components!AA42*((1+InflationRate)^Components!$K42),0),Y42)</f>
        <v>3735.4227252118658</v>
      </c>
      <c r="AA42" s="11">
        <f>IF(Components!AB42&gt;0,PPMT(EarningsRate,1,Components!$K42,0,-Components!AB42*((1+InflationRate)^Components!$K42),0),Z42)</f>
        <v>3735.4227252118658</v>
      </c>
      <c r="AB42" s="11">
        <f>IF(Components!AC42&gt;0,PPMT(EarningsRate,1,Components!$K42,0,-Components!AC42*((1+InflationRate)^Components!$K42),0),AA42)</f>
        <v>3735.4227252118658</v>
      </c>
      <c r="AC42" s="11">
        <f>IF(Components!AD42&gt;0,PPMT(EarningsRate,1,Components!$K42,0,-Components!AD42*((1+InflationRate)^Components!$K42),0),AB42)</f>
        <v>3735.4227252118658</v>
      </c>
      <c r="AD42" s="11">
        <f>IF(Components!AE42&gt;0,PPMT(EarningsRate,1,Components!$K42,0,-Components!AE42*((1+InflationRate)^Components!$K42),0),AC42)</f>
        <v>3735.4227252118658</v>
      </c>
      <c r="AE42" s="11">
        <f>IF(Components!AF42&gt;0,PPMT(EarningsRate,1,Components!$K42,0,-Components!AF42*((1+InflationRate)^Components!$K42),0),AD42)</f>
        <v>5269.1401818198492</v>
      </c>
      <c r="AF42" s="11">
        <f>IF(Components!AG42&gt;0,PPMT(EarningsRate,1,Components!$K42,0,-Components!AG42*((1+InflationRate)^Components!$K42),0),AE42)</f>
        <v>5269.1401818198492</v>
      </c>
      <c r="AG42" s="11">
        <f>IF(Components!AH42&gt;0,PPMT(EarningsRate,1,Components!$K42,0,-Components!AH42*((1+InflationRate)^Components!$K42),0),AF42)</f>
        <v>5269.1401818198492</v>
      </c>
      <c r="AH42" s="11">
        <f>IF(Components!AI42&gt;0,PPMT(EarningsRate,1,Components!$K42,0,-Components!AI42*((1+InflationRate)^Components!$K42),0),AG42)</f>
        <v>5269.1401818198492</v>
      </c>
      <c r="AI42" s="11">
        <f>IF(Components!AJ42&gt;0,PPMT(EarningsRate,1,Components!$K42,0,-Components!AJ42*((1+InflationRate)^Components!$K42),0),AH42)</f>
        <v>5269.1401818198492</v>
      </c>
      <c r="AJ42" s="11">
        <f>IF(Components!AK42&gt;0,PPMT(EarningsRate,1,Components!$K42,0,-Components!AK42*((1+InflationRate)^Components!$K42),0),AI42)</f>
        <v>5269.1401818198492</v>
      </c>
      <c r="AK42" s="11">
        <f>IF(Components!AL42&gt;0,PPMT(EarningsRate,1,Components!$K42,0,-Components!AL42*((1+InflationRate)^Components!$K42),0),AJ42)</f>
        <v>5269.1401818198492</v>
      </c>
      <c r="AL42" s="11">
        <f>IF(Components!AM42&gt;0,PPMT(EarningsRate,1,Components!$K42,0,-Components!AM42*((1+InflationRate)^Components!$K42),0),AK42)</f>
        <v>5269.1401818198492</v>
      </c>
      <c r="AM42" s="11">
        <f>IF(Components!AN42&gt;0,PPMT(EarningsRate,1,Components!$K42,0,-Components!AN42*((1+InflationRate)^Components!$K42),0),AL42)</f>
        <v>5269.1401818198492</v>
      </c>
      <c r="AN42" s="11">
        <f>IF(Components!AO42&gt;0,PPMT(EarningsRate,1,Components!$K42,0,-Components!AO42*((1+InflationRate)^Components!$K42),0),AM42)</f>
        <v>5269.1401818198492</v>
      </c>
      <c r="AO42" s="11">
        <f>IF(Components!AP42&gt;0,PPMT(EarningsRate,1,Components!$K42,0,-Components!AP42*((1+InflationRate)^Components!$K42),0),AN42)</f>
        <v>7432.6307512540689</v>
      </c>
      <c r="AP42" s="214"/>
      <c r="AQ42" s="11">
        <f t="shared" si="1"/>
        <v>123959.37439218843</v>
      </c>
    </row>
    <row r="43" spans="1:43" s="1" customFormat="1">
      <c r="A43" s="220" t="str">
        <f>Components!B43</f>
        <v>Clubhouse Equip</v>
      </c>
      <c r="B43" s="220" t="str">
        <f>Components!C43</f>
        <v>Auditorium Curtain</v>
      </c>
      <c r="C43" s="211"/>
      <c r="D43" s="211"/>
      <c r="E43" s="211"/>
      <c r="F43" s="88"/>
      <c r="G43" s="212"/>
      <c r="H43" s="212"/>
      <c r="I43" s="212"/>
      <c r="J43" s="211"/>
      <c r="K43" s="11">
        <f>IF('FF Balance'!H43&gt;=0,PPMT(EarningsRate,1,Components!K43,0,-'FF Balance'!G43,0),0)</f>
        <v>755.96042346150148</v>
      </c>
      <c r="L43" s="11">
        <f>IF(Components!M43&gt;0,PPMT(EarningsRate,1,Components!$K43,0,-Components!M43*((1+InflationRate)^Components!$K43),0),K43)</f>
        <v>755.96042346150148</v>
      </c>
      <c r="M43" s="11">
        <f>IF(Components!N43&gt;0,PPMT(EarningsRate,1,Components!$K43,0,-Components!N43*((1+InflationRate)^Components!$K43),0),L43)</f>
        <v>755.96042346150148</v>
      </c>
      <c r="N43" s="11">
        <f>IF(Components!O43&gt;0,PPMT(EarningsRate,1,Components!$K43,0,-Components!O43*((1+InflationRate)^Components!$K43),0),M43)</f>
        <v>755.96042346150148</v>
      </c>
      <c r="O43" s="11">
        <f>IF(Components!P43&gt;0,PPMT(EarningsRate,1,Components!$K43,0,-Components!P43*((1+InflationRate)^Components!$K43),0),N43)</f>
        <v>755.96042346150148</v>
      </c>
      <c r="P43" s="11">
        <f>IF(Components!Q43&gt;0,PPMT(EarningsRate,1,Components!$K43,0,-Components!Q43*((1+InflationRate)^Components!$K43),0),O43)</f>
        <v>755.96042346150148</v>
      </c>
      <c r="Q43" s="11">
        <f>IF(Components!R43&gt;0,PPMT(EarningsRate,1,Components!$K43,0,-Components!R43*((1+InflationRate)^Components!$K43),0),P43)</f>
        <v>755.96042346150148</v>
      </c>
      <c r="R43" s="11">
        <f>IF(Components!S43&gt;0,PPMT(EarningsRate,1,Components!$K43,0,-Components!S43*((1+InflationRate)^Components!$K43),0),Q43)</f>
        <v>755.96042346150148</v>
      </c>
      <c r="S43" s="11">
        <f>IF(Components!T43&gt;0,PPMT(EarningsRate,1,Components!$K43,0,-Components!T43*((1+InflationRate)^Components!$K43),0),R43)</f>
        <v>1266.4974115411337</v>
      </c>
      <c r="T43" s="11">
        <f>IF(Components!U43&gt;0,PPMT(EarningsRate,1,Components!$K43,0,-Components!U43*((1+InflationRate)^Components!$K43),0),S43)</f>
        <v>1266.4974115411337</v>
      </c>
      <c r="U43" s="11">
        <f>IF(Components!V43&gt;0,PPMT(EarningsRate,1,Components!$K43,0,-Components!V43*((1+InflationRate)^Components!$K43),0),T43)</f>
        <v>1266.4974115411337</v>
      </c>
      <c r="V43" s="11">
        <f>IF(Components!W43&gt;0,PPMT(EarningsRate,1,Components!$K43,0,-Components!W43*((1+InflationRate)^Components!$K43),0),U43)</f>
        <v>1266.4974115411337</v>
      </c>
      <c r="W43" s="11">
        <f>IF(Components!X43&gt;0,PPMT(EarningsRate,1,Components!$K43,0,-Components!X43*((1+InflationRate)^Components!$K43),0),V43)</f>
        <v>1266.4974115411337</v>
      </c>
      <c r="X43" s="11">
        <f>IF(Components!Y43&gt;0,PPMT(EarningsRate,1,Components!$K43,0,-Components!Y43*((1+InflationRate)^Components!$K43),0),W43)</f>
        <v>1266.4974115411337</v>
      </c>
      <c r="Y43" s="11">
        <f>IF(Components!Z43&gt;0,PPMT(EarningsRate,1,Components!$K43,0,-Components!Z43*((1+InflationRate)^Components!$K43),0),X43)</f>
        <v>1266.4974115411337</v>
      </c>
      <c r="Z43" s="11">
        <f>IF(Components!AA43&gt;0,PPMT(EarningsRate,1,Components!$K43,0,-Components!AA43*((1+InflationRate)^Components!$K43),0),Y43)</f>
        <v>1266.4974115411337</v>
      </c>
      <c r="AA43" s="11">
        <f>IF(Components!AB43&gt;0,PPMT(EarningsRate,1,Components!$K43,0,-Components!AB43*((1+InflationRate)^Components!$K43),0),Z43)</f>
        <v>1266.4974115411337</v>
      </c>
      <c r="AB43" s="11">
        <f>IF(Components!AC43&gt;0,PPMT(EarningsRate,1,Components!$K43,0,-Components!AC43*((1+InflationRate)^Components!$K43),0),AA43)</f>
        <v>1266.4974115411337</v>
      </c>
      <c r="AC43" s="11">
        <f>IF(Components!AD43&gt;0,PPMT(EarningsRate,1,Components!$K43,0,-Components!AD43*((1+InflationRate)^Components!$K43),0),AB43)</f>
        <v>1266.4974115411337</v>
      </c>
      <c r="AD43" s="11">
        <f>IF(Components!AE43&gt;0,PPMT(EarningsRate,1,Components!$K43,0,-Components!AE43*((1+InflationRate)^Components!$K43),0),AC43)</f>
        <v>1266.4974115411337</v>
      </c>
      <c r="AE43" s="11">
        <f>IF(Components!AF43&gt;0,PPMT(EarningsRate,1,Components!$K43,0,-Components!AF43*((1+InflationRate)^Components!$K43),0),AD43)</f>
        <v>1266.4974115411337</v>
      </c>
      <c r="AF43" s="11">
        <f>IF(Components!AG43&gt;0,PPMT(EarningsRate,1,Components!$K43,0,-Components!AG43*((1+InflationRate)^Components!$K43),0),AE43)</f>
        <v>1266.4974115411337</v>
      </c>
      <c r="AG43" s="11">
        <f>IF(Components!AH43&gt;0,PPMT(EarningsRate,1,Components!$K43,0,-Components!AH43*((1+InflationRate)^Components!$K43),0),AF43)</f>
        <v>1266.4974115411337</v>
      </c>
      <c r="AH43" s="11">
        <f>IF(Components!AI43&gt;0,PPMT(EarningsRate,1,Components!$K43,0,-Components!AI43*((1+InflationRate)^Components!$K43),0),AG43)</f>
        <v>2121.8255920419924</v>
      </c>
      <c r="AI43" s="11">
        <f>IF(Components!AJ43&gt;0,PPMT(EarningsRate,1,Components!$K43,0,-Components!AJ43*((1+InflationRate)^Components!$K43),0),AH43)</f>
        <v>2121.8255920419924</v>
      </c>
      <c r="AJ43" s="11">
        <f>IF(Components!AK43&gt;0,PPMT(EarningsRate,1,Components!$K43,0,-Components!AK43*((1+InflationRate)^Components!$K43),0),AI43)</f>
        <v>2121.8255920419924</v>
      </c>
      <c r="AK43" s="11">
        <f>IF(Components!AL43&gt;0,PPMT(EarningsRate,1,Components!$K43,0,-Components!AL43*((1+InflationRate)^Components!$K43),0),AJ43)</f>
        <v>2121.8255920419924</v>
      </c>
      <c r="AL43" s="11">
        <f>IF(Components!AM43&gt;0,PPMT(EarningsRate,1,Components!$K43,0,-Components!AM43*((1+InflationRate)^Components!$K43),0),AK43)</f>
        <v>2121.8255920419924</v>
      </c>
      <c r="AM43" s="11">
        <f>IF(Components!AN43&gt;0,PPMT(EarningsRate,1,Components!$K43,0,-Components!AN43*((1+InflationRate)^Components!$K43),0),AL43)</f>
        <v>2121.8255920419924</v>
      </c>
      <c r="AN43" s="11">
        <f>IF(Components!AO43&gt;0,PPMT(EarningsRate,1,Components!$K43,0,-Components!AO43*((1+InflationRate)^Components!$K43),0),AM43)</f>
        <v>2121.8255920419924</v>
      </c>
      <c r="AO43" s="11">
        <f>IF(Components!AP43&gt;0,PPMT(EarningsRate,1,Components!$K43,0,-Components!AP43*((1+InflationRate)^Components!$K43),0),AN43)</f>
        <v>2121.8255920419924</v>
      </c>
      <c r="AP43" s="214"/>
      <c r="AQ43" s="11">
        <f t="shared" si="1"/>
        <v>42019.749397144951</v>
      </c>
    </row>
    <row r="44" spans="1:43" s="1" customFormat="1">
      <c r="A44" s="220" t="str">
        <f>Components!B44</f>
        <v>Clubhouse Equip</v>
      </c>
      <c r="B44" s="220" t="str">
        <f>Components!C44</f>
        <v>Auditorium sound system</v>
      </c>
      <c r="C44" s="211"/>
      <c r="D44" s="211"/>
      <c r="E44" s="211"/>
      <c r="F44" s="88"/>
      <c r="G44" s="212"/>
      <c r="H44" s="212"/>
      <c r="I44" s="212"/>
      <c r="J44" s="211"/>
      <c r="K44" s="11">
        <f>IF('FF Balance'!H44&gt;=0,PPMT(EarningsRate,1,Components!K44,0,-'FF Balance'!G44,0),0)</f>
        <v>546.86611193465319</v>
      </c>
      <c r="L44" s="11">
        <f>IF(Components!M44&gt;0,PPMT(EarningsRate,1,Components!$K44,0,-Components!M44*((1+InflationRate)^Components!$K44),0),K44)</f>
        <v>546.86611193465319</v>
      </c>
      <c r="M44" s="11">
        <f>IF(Components!N44&gt;0,PPMT(EarningsRate,1,Components!$K44,0,-Components!N44*((1+InflationRate)^Components!$K44),0),L44)</f>
        <v>546.86611193465319</v>
      </c>
      <c r="N44" s="11">
        <f>IF(Components!O44&gt;0,PPMT(EarningsRate,1,Components!$K44,0,-Components!O44*((1+InflationRate)^Components!$K44),0),M44)</f>
        <v>546.86611193465319</v>
      </c>
      <c r="O44" s="11">
        <f>IF(Components!P44&gt;0,PPMT(EarningsRate,1,Components!$K44,0,-Components!P44*((1+InflationRate)^Components!$K44),0),N44)</f>
        <v>546.86611193465319</v>
      </c>
      <c r="P44" s="11">
        <f>IF(Components!Q44&gt;0,PPMT(EarningsRate,1,Components!$K44,0,-Components!Q44*((1+InflationRate)^Components!$K44),0),O44)</f>
        <v>826.35224150932083</v>
      </c>
      <c r="Q44" s="11">
        <f>IF(Components!R44&gt;0,PPMT(EarningsRate,1,Components!$K44,0,-Components!R44*((1+InflationRate)^Components!$K44),0),P44)</f>
        <v>826.35224150932083</v>
      </c>
      <c r="R44" s="11">
        <f>IF(Components!S44&gt;0,PPMT(EarningsRate,1,Components!$K44,0,-Components!S44*((1+InflationRate)^Components!$K44),0),Q44)</f>
        <v>826.35224150932083</v>
      </c>
      <c r="S44" s="11">
        <f>IF(Components!T44&gt;0,PPMT(EarningsRate,1,Components!$K44,0,-Components!T44*((1+InflationRate)^Components!$K44),0),R44)</f>
        <v>826.35224150932083</v>
      </c>
      <c r="T44" s="11">
        <f>IF(Components!U44&gt;0,PPMT(EarningsRate,1,Components!$K44,0,-Components!U44*((1+InflationRate)^Components!$K44),0),S44)</f>
        <v>826.35224150932083</v>
      </c>
      <c r="U44" s="11">
        <f>IF(Components!V44&gt;0,PPMT(EarningsRate,1,Components!$K44,0,-Components!V44*((1+InflationRate)^Components!$K44),0),T44)</f>
        <v>826.35224150932083</v>
      </c>
      <c r="V44" s="11">
        <f>IF(Components!W44&gt;0,PPMT(EarningsRate,1,Components!$K44,0,-Components!W44*((1+InflationRate)^Components!$K44),0),U44)</f>
        <v>826.35224150932083</v>
      </c>
      <c r="W44" s="11">
        <f>IF(Components!X44&gt;0,PPMT(EarningsRate,1,Components!$K44,0,-Components!X44*((1+InflationRate)^Components!$K44),0),V44)</f>
        <v>826.35224150932083</v>
      </c>
      <c r="X44" s="11">
        <f>IF(Components!Y44&gt;0,PPMT(EarningsRate,1,Components!$K44,0,-Components!Y44*((1+InflationRate)^Components!$K44),0),W44)</f>
        <v>826.35224150932083</v>
      </c>
      <c r="Y44" s="11">
        <f>IF(Components!Z44&gt;0,PPMT(EarningsRate,1,Components!$K44,0,-Components!Z44*((1+InflationRate)^Components!$K44),0),X44)</f>
        <v>826.35224150932083</v>
      </c>
      <c r="Z44" s="11">
        <f>IF(Components!AA44&gt;0,PPMT(EarningsRate,1,Components!$K44,0,-Components!AA44*((1+InflationRate)^Components!$K44),0),Y44)</f>
        <v>826.35224150932083</v>
      </c>
      <c r="AA44" s="11">
        <f>IF(Components!AB44&gt;0,PPMT(EarningsRate,1,Components!$K44,0,-Components!AB44*((1+InflationRate)^Components!$K44),0),Z44)</f>
        <v>826.35224150932083</v>
      </c>
      <c r="AB44" s="11">
        <f>IF(Components!AC44&gt;0,PPMT(EarningsRate,1,Components!$K44,0,-Components!AC44*((1+InflationRate)^Components!$K44),0),AA44)</f>
        <v>1248.603000490968</v>
      </c>
      <c r="AC44" s="11">
        <f>IF(Components!AD44&gt;0,PPMT(EarningsRate,1,Components!$K44,0,-Components!AD44*((1+InflationRate)^Components!$K44),0),AB44)</f>
        <v>1248.603000490968</v>
      </c>
      <c r="AD44" s="11">
        <f>IF(Components!AE44&gt;0,PPMT(EarningsRate,1,Components!$K44,0,-Components!AE44*((1+InflationRate)^Components!$K44),0),AC44)</f>
        <v>1248.603000490968</v>
      </c>
      <c r="AE44" s="11">
        <f>IF(Components!AF44&gt;0,PPMT(EarningsRate,1,Components!$K44,0,-Components!AF44*((1+InflationRate)^Components!$K44),0),AD44)</f>
        <v>1248.603000490968</v>
      </c>
      <c r="AF44" s="11">
        <f>IF(Components!AG44&gt;0,PPMT(EarningsRate,1,Components!$K44,0,-Components!AG44*((1+InflationRate)^Components!$K44),0),AE44)</f>
        <v>1248.603000490968</v>
      </c>
      <c r="AG44" s="11">
        <f>IF(Components!AH44&gt;0,PPMT(EarningsRate,1,Components!$K44,0,-Components!AH44*((1+InflationRate)^Components!$K44),0),AF44)</f>
        <v>1248.603000490968</v>
      </c>
      <c r="AH44" s="11">
        <f>IF(Components!AI44&gt;0,PPMT(EarningsRate,1,Components!$K44,0,-Components!AI44*((1+InflationRate)^Components!$K44),0),AG44)</f>
        <v>1248.603000490968</v>
      </c>
      <c r="AI44" s="11">
        <f>IF(Components!AJ44&gt;0,PPMT(EarningsRate,1,Components!$K44,0,-Components!AJ44*((1+InflationRate)^Components!$K44),0),AH44)</f>
        <v>1248.603000490968</v>
      </c>
      <c r="AJ44" s="11">
        <f>IF(Components!AK44&gt;0,PPMT(EarningsRate,1,Components!$K44,0,-Components!AK44*((1+InflationRate)^Components!$K44),0),AI44)</f>
        <v>1248.603000490968</v>
      </c>
      <c r="AK44" s="11">
        <f>IF(Components!AL44&gt;0,PPMT(EarningsRate,1,Components!$K44,0,-Components!AL44*((1+InflationRate)^Components!$K44),0),AJ44)</f>
        <v>1248.603000490968</v>
      </c>
      <c r="AL44" s="11">
        <f>IF(Components!AM44&gt;0,PPMT(EarningsRate,1,Components!$K44,0,-Components!AM44*((1+InflationRate)^Components!$K44),0),AK44)</f>
        <v>1248.603000490968</v>
      </c>
      <c r="AM44" s="11">
        <f>IF(Components!AN44&gt;0,PPMT(EarningsRate,1,Components!$K44,0,-Components!AN44*((1+InflationRate)^Components!$K44),0),AL44)</f>
        <v>1248.603000490968</v>
      </c>
      <c r="AN44" s="11">
        <f>IF(Components!AO44&gt;0,PPMT(EarningsRate,1,Components!$K44,0,-Components!AO44*((1+InflationRate)^Components!$K44),0),AM44)</f>
        <v>1886.7405232183394</v>
      </c>
      <c r="AO44" s="11">
        <f>IF(Components!AP44&gt;0,PPMT(EarningsRate,1,Components!$K44,0,-Components!AP44*((1+InflationRate)^Components!$K44),0),AN44)</f>
        <v>1886.7405232183394</v>
      </c>
      <c r="AP44" s="214"/>
      <c r="AQ44" s="11">
        <f t="shared" si="1"/>
        <v>31407.274610113436</v>
      </c>
    </row>
    <row r="45" spans="1:43" s="1" customFormat="1">
      <c r="A45" s="220" t="str">
        <f>Components!B45</f>
        <v>Clubhouse Equip</v>
      </c>
      <c r="B45" s="220" t="str">
        <f>Components!C45</f>
        <v>Billiard tables</v>
      </c>
      <c r="C45" s="211"/>
      <c r="D45" s="211"/>
      <c r="E45" s="211"/>
      <c r="F45" s="88"/>
      <c r="G45" s="212"/>
      <c r="H45" s="212"/>
      <c r="I45" s="212"/>
      <c r="J45" s="211"/>
      <c r="K45" s="11">
        <f>IF('FF Balance'!H45&gt;=0,PPMT(EarningsRate,1,Components!K45,0,-'FF Balance'!G45,0),0)</f>
        <v>1137.0560850102042</v>
      </c>
      <c r="L45" s="11">
        <f>IF(Components!M45&gt;0,PPMT(EarningsRate,1,Components!$K45,0,-Components!M45*((1+InflationRate)^Components!$K45),0),K45)</f>
        <v>1137.0560850102042</v>
      </c>
      <c r="M45" s="11">
        <f>IF(Components!N45&gt;0,PPMT(EarningsRate,1,Components!$K45,0,-Components!N45*((1+InflationRate)^Components!$K45),0),L45)</f>
        <v>1137.0560850102042</v>
      </c>
      <c r="N45" s="11">
        <f>IF(Components!O45&gt;0,PPMT(EarningsRate,1,Components!$K45,0,-Components!O45*((1+InflationRate)^Components!$K45),0),M45)</f>
        <v>2687.1420897306821</v>
      </c>
      <c r="O45" s="11">
        <f>IF(Components!P45&gt;0,PPMT(EarningsRate,1,Components!$K45,0,-Components!P45*((1+InflationRate)^Components!$K45),0),N45)</f>
        <v>2687.1420897306821</v>
      </c>
      <c r="P45" s="11">
        <f>IF(Components!Q45&gt;0,PPMT(EarningsRate,1,Components!$K45,0,-Components!Q45*((1+InflationRate)^Components!$K45),0),O45)</f>
        <v>2687.1420897306821</v>
      </c>
      <c r="Q45" s="11">
        <f>IF(Components!R45&gt;0,PPMT(EarningsRate,1,Components!$K45,0,-Components!R45*((1+InflationRate)^Components!$K45),0),P45)</f>
        <v>2687.1420897306821</v>
      </c>
      <c r="R45" s="11">
        <f>IF(Components!S45&gt;0,PPMT(EarningsRate,1,Components!$K45,0,-Components!S45*((1+InflationRate)^Components!$K45),0),Q45)</f>
        <v>2687.1420897306821</v>
      </c>
      <c r="S45" s="11">
        <f>IF(Components!T45&gt;0,PPMT(EarningsRate,1,Components!$K45,0,-Components!T45*((1+InflationRate)^Components!$K45),0),R45)</f>
        <v>2687.1420897306821</v>
      </c>
      <c r="T45" s="11">
        <f>IF(Components!U45&gt;0,PPMT(EarningsRate,1,Components!$K45,0,-Components!U45*((1+InflationRate)^Components!$K45),0),S45)</f>
        <v>2687.1420897306821</v>
      </c>
      <c r="U45" s="11">
        <f>IF(Components!V45&gt;0,PPMT(EarningsRate,1,Components!$K45,0,-Components!V45*((1+InflationRate)^Components!$K45),0),T45)</f>
        <v>2687.1420897306821</v>
      </c>
      <c r="V45" s="11">
        <f>IF(Components!W45&gt;0,PPMT(EarningsRate,1,Components!$K45,0,-Components!W45*((1+InflationRate)^Components!$K45),0),U45)</f>
        <v>2687.1420897306821</v>
      </c>
      <c r="W45" s="11">
        <f>IF(Components!X45&gt;0,PPMT(EarningsRate,1,Components!$K45,0,-Components!X45*((1+InflationRate)^Components!$K45),0),V45)</f>
        <v>2687.1420897306821</v>
      </c>
      <c r="X45" s="11">
        <f>IF(Components!Y45&gt;0,PPMT(EarningsRate,1,Components!$K45,0,-Components!Y45*((1+InflationRate)^Components!$K45),0),W45)</f>
        <v>2687.1420897306821</v>
      </c>
      <c r="Y45" s="11">
        <f>IF(Components!Z45&gt;0,PPMT(EarningsRate,1,Components!$K45,0,-Components!Z45*((1+InflationRate)^Components!$K45),0),X45)</f>
        <v>2687.1420897306821</v>
      </c>
      <c r="Z45" s="11">
        <f>IF(Components!AA45&gt;0,PPMT(EarningsRate,1,Components!$K45,0,-Components!AA45*((1+InflationRate)^Components!$K45),0),Y45)</f>
        <v>2687.1420897306821</v>
      </c>
      <c r="AA45" s="11">
        <f>IF(Components!AB45&gt;0,PPMT(EarningsRate,1,Components!$K45,0,-Components!AB45*((1+InflationRate)^Components!$K45),0),Z45)</f>
        <v>2687.1420897306821</v>
      </c>
      <c r="AB45" s="11">
        <f>IF(Components!AC45&gt;0,PPMT(EarningsRate,1,Components!$K45,0,-Components!AC45*((1+InflationRate)^Components!$K45),0),AA45)</f>
        <v>2687.1420897306821</v>
      </c>
      <c r="AC45" s="11">
        <f>IF(Components!AD45&gt;0,PPMT(EarningsRate,1,Components!$K45,0,-Components!AD45*((1+InflationRate)^Components!$K45),0),AB45)</f>
        <v>2687.1420897306821</v>
      </c>
      <c r="AD45" s="11">
        <f>IF(Components!AE45&gt;0,PPMT(EarningsRate,1,Components!$K45,0,-Components!AE45*((1+InflationRate)^Components!$K45),0),AC45)</f>
        <v>2687.1420897306821</v>
      </c>
      <c r="AE45" s="11">
        <f>IF(Components!AF45&gt;0,PPMT(EarningsRate,1,Components!$K45,0,-Components!AF45*((1+InflationRate)^Components!$K45),0),AD45)</f>
        <v>2687.1420897306821</v>
      </c>
      <c r="AF45" s="11">
        <f>IF(Components!AG45&gt;0,PPMT(EarningsRate,1,Components!$K45,0,-Components!AG45*((1+InflationRate)^Components!$K45),0),AE45)</f>
        <v>2687.1420897306821</v>
      </c>
      <c r="AG45" s="11">
        <f>IF(Components!AH45&gt;0,PPMT(EarningsRate,1,Components!$K45,0,-Components!AH45*((1+InflationRate)^Components!$K45),0),AF45)</f>
        <v>2687.1420897306821</v>
      </c>
      <c r="AH45" s="11">
        <f>IF(Components!AI45&gt;0,PPMT(EarningsRate,1,Components!$K45,0,-Components!AI45*((1+InflationRate)^Components!$K45),0),AG45)</f>
        <v>2687.1420897306821</v>
      </c>
      <c r="AI45" s="11">
        <f>IF(Components!AJ45&gt;0,PPMT(EarningsRate,1,Components!$K45,0,-Components!AJ45*((1+InflationRate)^Components!$K45),0),AH45)</f>
        <v>2687.1420897306821</v>
      </c>
      <c r="AJ45" s="11">
        <f>IF(Components!AK45&gt;0,PPMT(EarningsRate,1,Components!$K45,0,-Components!AK45*((1+InflationRate)^Components!$K45),0),AI45)</f>
        <v>2687.1420897306821</v>
      </c>
      <c r="AK45" s="11">
        <f>IF(Components!AL45&gt;0,PPMT(EarningsRate,1,Components!$K45,0,-Components!AL45*((1+InflationRate)^Components!$K45),0),AJ45)</f>
        <v>2687.1420897306821</v>
      </c>
      <c r="AL45" s="11">
        <f>IF(Components!AM45&gt;0,PPMT(EarningsRate,1,Components!$K45,0,-Components!AM45*((1+InflationRate)^Components!$K45),0),AK45)</f>
        <v>2687.1420897306821</v>
      </c>
      <c r="AM45" s="11">
        <f>IF(Components!AN45&gt;0,PPMT(EarningsRate,1,Components!$K45,0,-Components!AN45*((1+InflationRate)^Components!$K45),0),AL45)</f>
        <v>6350.3936972685997</v>
      </c>
      <c r="AN45" s="11">
        <f>IF(Components!AO45&gt;0,PPMT(EarningsRate,1,Components!$K45,0,-Components!AO45*((1+InflationRate)^Components!$K45),0),AM45)</f>
        <v>6350.3936972685997</v>
      </c>
      <c r="AO45" s="11">
        <f>IF(Components!AP45&gt;0,PPMT(EarningsRate,1,Components!$K45,0,-Components!AP45*((1+InflationRate)^Components!$K45),0),AN45)</f>
        <v>6350.3936972685997</v>
      </c>
      <c r="AP45" s="214"/>
      <c r="AQ45" s="11">
        <f t="shared" si="1"/>
        <v>89640.901690103477</v>
      </c>
    </row>
    <row r="46" spans="1:43" s="1" customFormat="1">
      <c r="A46" s="220" t="str">
        <f>Components!B46</f>
        <v>Clubhouse Equip</v>
      </c>
      <c r="B46" s="220" t="str">
        <f>Components!C46</f>
        <v>Board room AV system</v>
      </c>
      <c r="C46" s="211"/>
      <c r="D46" s="211"/>
      <c r="E46" s="211"/>
      <c r="F46" s="88"/>
      <c r="G46" s="212"/>
      <c r="H46" s="212"/>
      <c r="I46" s="212"/>
      <c r="J46" s="211"/>
      <c r="K46" s="11">
        <f>IF('FF Balance'!H46&gt;=0,PPMT(EarningsRate,1,Components!K46,0,-'FF Balance'!G46,0),0)</f>
        <v>1881.832776757788</v>
      </c>
      <c r="L46" s="11">
        <f>IF(Components!M46&gt;0,PPMT(EarningsRate,1,Components!$K46,0,-Components!M46*((1+InflationRate)^Components!$K46),0),K46)</f>
        <v>2654.5109825907393</v>
      </c>
      <c r="M46" s="11">
        <f>IF(Components!N46&gt;0,PPMT(EarningsRate,1,Components!$K46,0,-Components!N46*((1+InflationRate)^Components!$K46),0),L46)</f>
        <v>2654.5109825907393</v>
      </c>
      <c r="N46" s="11">
        <f>IF(Components!O46&gt;0,PPMT(EarningsRate,1,Components!$K46,0,-Components!O46*((1+InflationRate)^Components!$K46),0),M46)</f>
        <v>2654.5109825907393</v>
      </c>
      <c r="O46" s="11">
        <f>IF(Components!P46&gt;0,PPMT(EarningsRate,1,Components!$K46,0,-Components!P46*((1+InflationRate)^Components!$K46),0),N46)</f>
        <v>2654.5109825907393</v>
      </c>
      <c r="P46" s="11">
        <f>IF(Components!Q46&gt;0,PPMT(EarningsRate,1,Components!$K46,0,-Components!Q46*((1+InflationRate)^Components!$K46),0),O46)</f>
        <v>2654.5109825907393</v>
      </c>
      <c r="Q46" s="11">
        <f>IF(Components!R46&gt;0,PPMT(EarningsRate,1,Components!$K46,0,-Components!R46*((1+InflationRate)^Components!$K46),0),P46)</f>
        <v>2654.5109825907393</v>
      </c>
      <c r="R46" s="11">
        <f>IF(Components!S46&gt;0,PPMT(EarningsRate,1,Components!$K46,0,-Components!S46*((1+InflationRate)^Components!$K46),0),Q46)</f>
        <v>2654.5109825907393</v>
      </c>
      <c r="S46" s="11">
        <f>IF(Components!T46&gt;0,PPMT(EarningsRate,1,Components!$K46,0,-Components!T46*((1+InflationRate)^Components!$K46),0),R46)</f>
        <v>2654.5109825907393</v>
      </c>
      <c r="T46" s="11">
        <f>IF(Components!U46&gt;0,PPMT(EarningsRate,1,Components!$K46,0,-Components!U46*((1+InflationRate)^Components!$K46),0),S46)</f>
        <v>2654.5109825907393</v>
      </c>
      <c r="U46" s="11">
        <f>IF(Components!V46&gt;0,PPMT(EarningsRate,1,Components!$K46,0,-Components!V46*((1+InflationRate)^Components!$K46),0),T46)</f>
        <v>2654.5109825907393</v>
      </c>
      <c r="V46" s="11">
        <f>IF(Components!W46&gt;0,PPMT(EarningsRate,1,Components!$K46,0,-Components!W46*((1+InflationRate)^Components!$K46),0),U46)</f>
        <v>3744.3993323993714</v>
      </c>
      <c r="W46" s="11">
        <f>IF(Components!X46&gt;0,PPMT(EarningsRate,1,Components!$K46,0,-Components!X46*((1+InflationRate)^Components!$K46),0),V46)</f>
        <v>3744.3993323993714</v>
      </c>
      <c r="X46" s="11">
        <f>IF(Components!Y46&gt;0,PPMT(EarningsRate,1,Components!$K46,0,-Components!Y46*((1+InflationRate)^Components!$K46),0),W46)</f>
        <v>3744.3993323993714</v>
      </c>
      <c r="Y46" s="11">
        <f>IF(Components!Z46&gt;0,PPMT(EarningsRate,1,Components!$K46,0,-Components!Z46*((1+InflationRate)^Components!$K46),0),X46)</f>
        <v>3744.3993323993714</v>
      </c>
      <c r="Z46" s="11">
        <f>IF(Components!AA46&gt;0,PPMT(EarningsRate,1,Components!$K46,0,-Components!AA46*((1+InflationRate)^Components!$K46),0),Y46)</f>
        <v>3744.3993323993714</v>
      </c>
      <c r="AA46" s="11">
        <f>IF(Components!AB46&gt;0,PPMT(EarningsRate,1,Components!$K46,0,-Components!AB46*((1+InflationRate)^Components!$K46),0),Z46)</f>
        <v>3744.3993323993714</v>
      </c>
      <c r="AB46" s="11">
        <f>IF(Components!AC46&gt;0,PPMT(EarningsRate,1,Components!$K46,0,-Components!AC46*((1+InflationRate)^Components!$K46),0),AA46)</f>
        <v>3744.3993323993714</v>
      </c>
      <c r="AC46" s="11">
        <f>IF(Components!AD46&gt;0,PPMT(EarningsRate,1,Components!$K46,0,-Components!AD46*((1+InflationRate)^Components!$K46),0),AB46)</f>
        <v>3744.3993323993714</v>
      </c>
      <c r="AD46" s="11">
        <f>IF(Components!AE46&gt;0,PPMT(EarningsRate,1,Components!$K46,0,-Components!AE46*((1+InflationRate)^Components!$K46),0),AC46)</f>
        <v>3744.3993323993714</v>
      </c>
      <c r="AE46" s="11">
        <f>IF(Components!AF46&gt;0,PPMT(EarningsRate,1,Components!$K46,0,-Components!AF46*((1+InflationRate)^Components!$K46),0),AD46)</f>
        <v>3744.3993323993714</v>
      </c>
      <c r="AF46" s="11">
        <f>IF(Components!AG46&gt;0,PPMT(EarningsRate,1,Components!$K46,0,-Components!AG46*((1+InflationRate)^Components!$K46),0),AE46)</f>
        <v>5281.9639063734267</v>
      </c>
      <c r="AG46" s="11">
        <f>IF(Components!AH46&gt;0,PPMT(EarningsRate,1,Components!$K46,0,-Components!AH46*((1+InflationRate)^Components!$K46),0),AF46)</f>
        <v>5281.9639063734267</v>
      </c>
      <c r="AH46" s="11">
        <f>IF(Components!AI46&gt;0,PPMT(EarningsRate,1,Components!$K46,0,-Components!AI46*((1+InflationRate)^Components!$K46),0),AG46)</f>
        <v>5281.9639063734267</v>
      </c>
      <c r="AI46" s="11">
        <f>IF(Components!AJ46&gt;0,PPMT(EarningsRate,1,Components!$K46,0,-Components!AJ46*((1+InflationRate)^Components!$K46),0),AH46)</f>
        <v>5281.9639063734267</v>
      </c>
      <c r="AJ46" s="11">
        <f>IF(Components!AK46&gt;0,PPMT(EarningsRate,1,Components!$K46,0,-Components!AK46*((1+InflationRate)^Components!$K46),0),AI46)</f>
        <v>5281.9639063734267</v>
      </c>
      <c r="AK46" s="11">
        <f>IF(Components!AL46&gt;0,PPMT(EarningsRate,1,Components!$K46,0,-Components!AL46*((1+InflationRate)^Components!$K46),0),AJ46)</f>
        <v>5281.9639063734267</v>
      </c>
      <c r="AL46" s="11">
        <f>IF(Components!AM46&gt;0,PPMT(EarningsRate,1,Components!$K46,0,-Components!AM46*((1+InflationRate)^Components!$K46),0),AK46)</f>
        <v>5281.9639063734267</v>
      </c>
      <c r="AM46" s="11">
        <f>IF(Components!AN46&gt;0,PPMT(EarningsRate,1,Components!$K46,0,-Components!AN46*((1+InflationRate)^Components!$K46),0),AL46)</f>
        <v>5281.9639063734267</v>
      </c>
      <c r="AN46" s="11">
        <f>IF(Components!AO46&gt;0,PPMT(EarningsRate,1,Components!$K46,0,-Components!AO46*((1+InflationRate)^Components!$K46),0),AM46)</f>
        <v>5281.9639063734267</v>
      </c>
      <c r="AO46" s="11">
        <f>IF(Components!AP46&gt;0,PPMT(EarningsRate,1,Components!$K46,0,-Components!AP46*((1+InflationRate)^Components!$K46),0),AN46)</f>
        <v>5281.9639063734267</v>
      </c>
      <c r="AP46" s="214"/>
      <c r="AQ46" s="11">
        <f t="shared" si="1"/>
        <v>118690.5750903931</v>
      </c>
    </row>
    <row r="47" spans="1:43" s="1" customFormat="1">
      <c r="A47" s="220" t="str">
        <f>Components!B47</f>
        <v>Clubhouse Equip</v>
      </c>
      <c r="B47" s="220" t="str">
        <f>Components!C47</f>
        <v>Club Point of Sale System</v>
      </c>
      <c r="C47" s="211"/>
      <c r="D47" s="211"/>
      <c r="E47" s="211"/>
      <c r="F47" s="88"/>
      <c r="G47" s="212"/>
      <c r="H47" s="212"/>
      <c r="I47" s="212"/>
      <c r="J47" s="211"/>
      <c r="K47" s="11">
        <f>IF('FF Balance'!H47&gt;=0,PPMT(EarningsRate,1,Components!K47,0,-'FF Balance'!G47,0),0)</f>
        <v>1505.261414274041</v>
      </c>
      <c r="L47" s="11">
        <f>IF(Components!M47&gt;0,PPMT(EarningsRate,1,Components!$K47,0,-Components!M47*((1+InflationRate)^Components!$K47),0),K47)</f>
        <v>1505.261414274041</v>
      </c>
      <c r="M47" s="11">
        <f>IF(Components!N47&gt;0,PPMT(EarningsRate,1,Components!$K47,0,-Components!N47*((1+InflationRate)^Components!$K47),0),L47)</f>
        <v>1505.261414274041</v>
      </c>
      <c r="N47" s="11">
        <f>IF(Components!O47&gt;0,PPMT(EarningsRate,1,Components!$K47,0,-Components!O47*((1+InflationRate)^Components!$K47),0),M47)</f>
        <v>1505.261414274041</v>
      </c>
      <c r="O47" s="11">
        <f>IF(Components!P47&gt;0,PPMT(EarningsRate,1,Components!$K47,0,-Components!P47*((1+InflationRate)^Components!$K47),0),N47)</f>
        <v>1505.261414274041</v>
      </c>
      <c r="P47" s="11">
        <f>IF(Components!Q47&gt;0,PPMT(EarningsRate,1,Components!$K47,0,-Components!Q47*((1+InflationRate)^Components!$K47),0),O47)</f>
        <v>1505.261414274041</v>
      </c>
      <c r="Q47" s="11">
        <f>IF(Components!R47&gt;0,PPMT(EarningsRate,1,Components!$K47,0,-Components!R47*((1+InflationRate)^Components!$K47),0),P47)</f>
        <v>1505.261414274041</v>
      </c>
      <c r="R47" s="11">
        <f>IF(Components!S47&gt;0,PPMT(EarningsRate,1,Components!$K47,0,-Components!S47*((1+InflationRate)^Components!$K47),0),Q47)</f>
        <v>1505.261414274041</v>
      </c>
      <c r="S47" s="11">
        <f>IF(Components!T47&gt;0,PPMT(EarningsRate,1,Components!$K47,0,-Components!T47*((1+InflationRate)^Components!$K47),0),R47)</f>
        <v>2521.8379503803562</v>
      </c>
      <c r="T47" s="11">
        <f>IF(Components!U47&gt;0,PPMT(EarningsRate,1,Components!$K47,0,-Components!U47*((1+InflationRate)^Components!$K47),0),S47)</f>
        <v>2521.8379503803562</v>
      </c>
      <c r="U47" s="11">
        <f>IF(Components!V47&gt;0,PPMT(EarningsRate,1,Components!$K47,0,-Components!V47*((1+InflationRate)^Components!$K47),0),T47)</f>
        <v>2521.8379503803562</v>
      </c>
      <c r="V47" s="11">
        <f>IF(Components!W47&gt;0,PPMT(EarningsRate,1,Components!$K47,0,-Components!W47*((1+InflationRate)^Components!$K47),0),U47)</f>
        <v>2521.8379503803562</v>
      </c>
      <c r="W47" s="11">
        <f>IF(Components!X47&gt;0,PPMT(EarningsRate,1,Components!$K47,0,-Components!X47*((1+InflationRate)^Components!$K47),0),V47)</f>
        <v>2521.8379503803562</v>
      </c>
      <c r="X47" s="11">
        <f>IF(Components!Y47&gt;0,PPMT(EarningsRate,1,Components!$K47,0,-Components!Y47*((1+InflationRate)^Components!$K47),0),W47)</f>
        <v>2521.8379503803562</v>
      </c>
      <c r="Y47" s="11">
        <f>IF(Components!Z47&gt;0,PPMT(EarningsRate,1,Components!$K47,0,-Components!Z47*((1+InflationRate)^Components!$K47),0),X47)</f>
        <v>2521.8379503803562</v>
      </c>
      <c r="Z47" s="11">
        <f>IF(Components!AA47&gt;0,PPMT(EarningsRate,1,Components!$K47,0,-Components!AA47*((1+InflationRate)^Components!$K47),0),Y47)</f>
        <v>2521.8379503803562</v>
      </c>
      <c r="AA47" s="11">
        <f>IF(Components!AB47&gt;0,PPMT(EarningsRate,1,Components!$K47,0,-Components!AB47*((1+InflationRate)^Components!$K47),0),Z47)</f>
        <v>2521.8379503803562</v>
      </c>
      <c r="AB47" s="11">
        <f>IF(Components!AC47&gt;0,PPMT(EarningsRate,1,Components!$K47,0,-Components!AC47*((1+InflationRate)^Components!$K47),0),AA47)</f>
        <v>2521.8379503803562</v>
      </c>
      <c r="AC47" s="11">
        <f>IF(Components!AD47&gt;0,PPMT(EarningsRate,1,Components!$K47,0,-Components!AD47*((1+InflationRate)^Components!$K47),0),AB47)</f>
        <v>2521.8379503803562</v>
      </c>
      <c r="AD47" s="11">
        <f>IF(Components!AE47&gt;0,PPMT(EarningsRate,1,Components!$K47,0,-Components!AE47*((1+InflationRate)^Components!$K47),0),AC47)</f>
        <v>2521.8379503803562</v>
      </c>
      <c r="AE47" s="11">
        <f>IF(Components!AF47&gt;0,PPMT(EarningsRate,1,Components!$K47,0,-Components!AF47*((1+InflationRate)^Components!$K47),0),AD47)</f>
        <v>2521.8379503803562</v>
      </c>
      <c r="AF47" s="11">
        <f>IF(Components!AG47&gt;0,PPMT(EarningsRate,1,Components!$K47,0,-Components!AG47*((1+InflationRate)^Components!$K47),0),AE47)</f>
        <v>2521.8379503803562</v>
      </c>
      <c r="AG47" s="11">
        <f>IF(Components!AH47&gt;0,PPMT(EarningsRate,1,Components!$K47,0,-Components!AH47*((1+InflationRate)^Components!$K47),0),AF47)</f>
        <v>2521.8379503803562</v>
      </c>
      <c r="AH47" s="11">
        <f>IF(Components!AI47&gt;0,PPMT(EarningsRate,1,Components!$K47,0,-Components!AI47*((1+InflationRate)^Components!$K47),0),AG47)</f>
        <v>4224.8960963523223</v>
      </c>
      <c r="AI47" s="11">
        <f>IF(Components!AJ47&gt;0,PPMT(EarningsRate,1,Components!$K47,0,-Components!AJ47*((1+InflationRate)^Components!$K47),0),AH47)</f>
        <v>4224.8960963523223</v>
      </c>
      <c r="AJ47" s="11">
        <f>IF(Components!AK47&gt;0,PPMT(EarningsRate,1,Components!$K47,0,-Components!AK47*((1+InflationRate)^Components!$K47),0),AI47)</f>
        <v>4224.8960963523223</v>
      </c>
      <c r="AK47" s="11">
        <f>IF(Components!AL47&gt;0,PPMT(EarningsRate,1,Components!$K47,0,-Components!AL47*((1+InflationRate)^Components!$K47),0),AJ47)</f>
        <v>4224.8960963523223</v>
      </c>
      <c r="AL47" s="11">
        <f>IF(Components!AM47&gt;0,PPMT(EarningsRate,1,Components!$K47,0,-Components!AM47*((1+InflationRate)^Components!$K47),0),AK47)</f>
        <v>4224.8960963523223</v>
      </c>
      <c r="AM47" s="11">
        <f>IF(Components!AN47&gt;0,PPMT(EarningsRate,1,Components!$K47,0,-Components!AN47*((1+InflationRate)^Components!$K47),0),AL47)</f>
        <v>4224.8960963523223</v>
      </c>
      <c r="AN47" s="11">
        <f>IF(Components!AO47&gt;0,PPMT(EarningsRate,1,Components!$K47,0,-Components!AO47*((1+InflationRate)^Components!$K47),0),AM47)</f>
        <v>4224.8960963523223</v>
      </c>
      <c r="AO47" s="11">
        <f>IF(Components!AP47&gt;0,PPMT(EarningsRate,1,Components!$K47,0,-Components!AP47*((1+InflationRate)^Components!$K47),0),AN47)</f>
        <v>4224.8960963523223</v>
      </c>
      <c r="AP47" s="214"/>
      <c r="AQ47" s="11">
        <f t="shared" si="1"/>
        <v>83668.829440716276</v>
      </c>
    </row>
    <row r="48" spans="1:43" s="1" customFormat="1">
      <c r="A48" s="220" t="str">
        <f>Components!B48</f>
        <v>Clubhouse Equip</v>
      </c>
      <c r="B48" s="220" t="str">
        <f>Components!C48</f>
        <v>Clubhouse Mobile Lift</v>
      </c>
      <c r="C48" s="211"/>
      <c r="D48" s="211"/>
      <c r="E48" s="211"/>
      <c r="F48" s="88"/>
      <c r="G48" s="212"/>
      <c r="H48" s="212"/>
      <c r="I48" s="212"/>
      <c r="J48" s="211"/>
      <c r="K48" s="11">
        <f>IF('FF Balance'!H48&gt;=0,PPMT(EarningsRate,1,Components!K48,0,-'FF Balance'!G48,0),0)</f>
        <v>709.06437927440152</v>
      </c>
      <c r="L48" s="11">
        <f>IF(Components!M48&gt;0,PPMT(EarningsRate,1,Components!$K48,0,-Components!M48*((1+InflationRate)^Components!$K48),0),K48)</f>
        <v>709.06437927440152</v>
      </c>
      <c r="M48" s="11">
        <f>IF(Components!N48&gt;0,PPMT(EarningsRate,1,Components!$K48,0,-Components!N48*((1+InflationRate)^Components!$K48),0),L48)</f>
        <v>709.06437927440152</v>
      </c>
      <c r="N48" s="11">
        <f>IF(Components!O48&gt;0,PPMT(EarningsRate,1,Components!$K48,0,-Components!O48*((1+InflationRate)^Components!$K48),0),M48)</f>
        <v>709.06437927440152</v>
      </c>
      <c r="O48" s="11">
        <f>IF(Components!P48&gt;0,PPMT(EarningsRate,1,Components!$K48,0,-Components!P48*((1+InflationRate)^Components!$K48),0),N48)</f>
        <v>709.06437927440152</v>
      </c>
      <c r="P48" s="11">
        <f>IF(Components!Q48&gt;0,PPMT(EarningsRate,1,Components!$K48,0,-Components!Q48*((1+InflationRate)^Components!$K48),0),O48)</f>
        <v>709.06437927440152</v>
      </c>
      <c r="Q48" s="11">
        <f>IF(Components!R48&gt;0,PPMT(EarningsRate,1,Components!$K48,0,-Components!R48*((1+InflationRate)^Components!$K48),0),P48)</f>
        <v>709.06437927440152</v>
      </c>
      <c r="R48" s="11">
        <f>IF(Components!S48&gt;0,PPMT(EarningsRate,1,Components!$K48,0,-Components!S48*((1+InflationRate)^Components!$K48),0),Q48)</f>
        <v>709.06437927440152</v>
      </c>
      <c r="S48" s="11">
        <f>IF(Components!T48&gt;0,PPMT(EarningsRate,1,Components!$K48,0,-Components!T48*((1+InflationRate)^Components!$K48),0),R48)</f>
        <v>709.06437927440152</v>
      </c>
      <c r="T48" s="11">
        <f>IF(Components!U48&gt;0,PPMT(EarningsRate,1,Components!$K48,0,-Components!U48*((1+InflationRate)^Components!$K48),0),S48)</f>
        <v>709.06437927440152</v>
      </c>
      <c r="U48" s="11">
        <f>IF(Components!V48&gt;0,PPMT(EarningsRate,1,Components!$K48,0,-Components!V48*((1+InflationRate)^Components!$K48),0),T48)</f>
        <v>709.06437927440152</v>
      </c>
      <c r="V48" s="11">
        <f>IF(Components!W48&gt;0,PPMT(EarningsRate,1,Components!$K48,0,-Components!W48*((1+InflationRate)^Components!$K48),0),U48)</f>
        <v>709.06437927440152</v>
      </c>
      <c r="W48" s="11">
        <f>IF(Components!X48&gt;0,PPMT(EarningsRate,1,Components!$K48,0,-Components!X48*((1+InflationRate)^Components!$K48),0),V48)</f>
        <v>709.06437927440152</v>
      </c>
      <c r="X48" s="11">
        <f>IF(Components!Y48&gt;0,PPMT(EarningsRate,1,Components!$K48,0,-Components!Y48*((1+InflationRate)^Components!$K48),0),W48)</f>
        <v>1410.8884053605245</v>
      </c>
      <c r="Y48" s="11">
        <f>IF(Components!Z48&gt;0,PPMT(EarningsRate,1,Components!$K48,0,-Components!Z48*((1+InflationRate)^Components!$K48),0),X48)</f>
        <v>1410.8884053605245</v>
      </c>
      <c r="Z48" s="11">
        <f>IF(Components!AA48&gt;0,PPMT(EarningsRate,1,Components!$K48,0,-Components!AA48*((1+InflationRate)^Components!$K48),0),Y48)</f>
        <v>1410.8884053605245</v>
      </c>
      <c r="AA48" s="11">
        <f>IF(Components!AB48&gt;0,PPMT(EarningsRate,1,Components!$K48,0,-Components!AB48*((1+InflationRate)^Components!$K48),0),Z48)</f>
        <v>1410.8884053605245</v>
      </c>
      <c r="AB48" s="11">
        <f>IF(Components!AC48&gt;0,PPMT(EarningsRate,1,Components!$K48,0,-Components!AC48*((1+InflationRate)^Components!$K48),0),AA48)</f>
        <v>1410.8884053605245</v>
      </c>
      <c r="AC48" s="11">
        <f>IF(Components!AD48&gt;0,PPMT(EarningsRate,1,Components!$K48,0,-Components!AD48*((1+InflationRate)^Components!$K48),0),AB48)</f>
        <v>1410.8884053605245</v>
      </c>
      <c r="AD48" s="11">
        <f>IF(Components!AE48&gt;0,PPMT(EarningsRate,1,Components!$K48,0,-Components!AE48*((1+InflationRate)^Components!$K48),0),AC48)</f>
        <v>1410.8884053605245</v>
      </c>
      <c r="AE48" s="11">
        <f>IF(Components!AF48&gt;0,PPMT(EarningsRate,1,Components!$K48,0,-Components!AF48*((1+InflationRate)^Components!$K48),0),AD48)</f>
        <v>1410.8884053605245</v>
      </c>
      <c r="AF48" s="11">
        <f>IF(Components!AG48&gt;0,PPMT(EarningsRate,1,Components!$K48,0,-Components!AG48*((1+InflationRate)^Components!$K48),0),AE48)</f>
        <v>1410.8884053605245</v>
      </c>
      <c r="AG48" s="11">
        <f>IF(Components!AH48&gt;0,PPMT(EarningsRate,1,Components!$K48,0,-Components!AH48*((1+InflationRate)^Components!$K48),0),AF48)</f>
        <v>1410.8884053605245</v>
      </c>
      <c r="AH48" s="11">
        <f>IF(Components!AI48&gt;0,PPMT(EarningsRate,1,Components!$K48,0,-Components!AI48*((1+InflationRate)^Components!$K48),0),AG48)</f>
        <v>1410.8884053605245</v>
      </c>
      <c r="AI48" s="11">
        <f>IF(Components!AJ48&gt;0,PPMT(EarningsRate,1,Components!$K48,0,-Components!AJ48*((1+InflationRate)^Components!$K48),0),AH48)</f>
        <v>1410.8884053605245</v>
      </c>
      <c r="AJ48" s="11">
        <f>IF(Components!AK48&gt;0,PPMT(EarningsRate,1,Components!$K48,0,-Components!AK48*((1+InflationRate)^Components!$K48),0),AI48)</f>
        <v>1410.8884053605245</v>
      </c>
      <c r="AK48" s="11">
        <f>IF(Components!AL48&gt;0,PPMT(EarningsRate,1,Components!$K48,0,-Components!AL48*((1+InflationRate)^Components!$K48),0),AJ48)</f>
        <v>1410.8884053605245</v>
      </c>
      <c r="AL48" s="11">
        <f>IF(Components!AM48&gt;0,PPMT(EarningsRate,1,Components!$K48,0,-Components!AM48*((1+InflationRate)^Components!$K48),0),AK48)</f>
        <v>1410.8884053605245</v>
      </c>
      <c r="AM48" s="11">
        <f>IF(Components!AN48&gt;0,PPMT(EarningsRate,1,Components!$K48,0,-Components!AN48*((1+InflationRate)^Components!$K48),0),AL48)</f>
        <v>1410.8884053605245</v>
      </c>
      <c r="AN48" s="11">
        <f>IF(Components!AO48&gt;0,PPMT(EarningsRate,1,Components!$K48,0,-Components!AO48*((1+InflationRate)^Components!$K48),0),AM48)</f>
        <v>1410.8884053605245</v>
      </c>
      <c r="AO48" s="11">
        <f>IF(Components!AP48&gt;0,PPMT(EarningsRate,1,Components!$K48,0,-Components!AP48*((1+InflationRate)^Components!$K48),0),AN48)</f>
        <v>1410.8884053605245</v>
      </c>
      <c r="AP48" s="214"/>
      <c r="AQ48" s="11">
        <f t="shared" si="1"/>
        <v>34613.828327056661</v>
      </c>
    </row>
    <row r="49" spans="1:43" s="1" customFormat="1">
      <c r="A49" s="220" t="str">
        <f>Components!B49</f>
        <v>Clubhouse Equip</v>
      </c>
      <c r="B49" s="220" t="str">
        <f>Components!C49</f>
        <v>Elevator</v>
      </c>
      <c r="C49" s="211"/>
      <c r="D49" s="211"/>
      <c r="E49" s="211"/>
      <c r="F49" s="88"/>
      <c r="G49" s="212"/>
      <c r="H49" s="212"/>
      <c r="I49" s="212"/>
      <c r="J49" s="211"/>
      <c r="K49" s="11">
        <f>IF('FF Balance'!H49&gt;=0,PPMT(EarningsRate,1,Components!K49,0,-'FF Balance'!G49,0),0)</f>
        <v>4810.4583031518778</v>
      </c>
      <c r="L49" s="11">
        <f>IF(Components!M49&gt;0,PPMT(EarningsRate,1,Components!$K49,0,-Components!M49*((1+InflationRate)^Components!$K49),0),K49)</f>
        <v>4810.4583031518778</v>
      </c>
      <c r="M49" s="11">
        <f>IF(Components!N49&gt;0,PPMT(EarningsRate,1,Components!$K49,0,-Components!N49*((1+InflationRate)^Components!$K49),0),L49)</f>
        <v>4810.4583031518778</v>
      </c>
      <c r="N49" s="11">
        <f>IF(Components!O49&gt;0,PPMT(EarningsRate,1,Components!$K49,0,-Components!O49*((1+InflationRate)^Components!$K49),0),M49)</f>
        <v>4810.4583031518778</v>
      </c>
      <c r="O49" s="11">
        <f>IF(Components!P49&gt;0,PPMT(EarningsRate,1,Components!$K49,0,-Components!P49*((1+InflationRate)^Components!$K49),0),N49)</f>
        <v>4810.4583031518778</v>
      </c>
      <c r="P49" s="11">
        <f>IF(Components!Q49&gt;0,PPMT(EarningsRate,1,Components!$K49,0,-Components!Q49*((1+InflationRate)^Components!$K49),0),O49)</f>
        <v>4810.4583031518778</v>
      </c>
      <c r="Q49" s="11">
        <f>IF(Components!R49&gt;0,PPMT(EarningsRate,1,Components!$K49,0,-Components!R49*((1+InflationRate)^Components!$K49),0),P49)</f>
        <v>4810.4583031518778</v>
      </c>
      <c r="R49" s="11">
        <f>IF(Components!S49&gt;0,PPMT(EarningsRate,1,Components!$K49,0,-Components!S49*((1+InflationRate)^Components!$K49),0),Q49)</f>
        <v>4810.4583031518778</v>
      </c>
      <c r="S49" s="11">
        <f>IF(Components!T49&gt;0,PPMT(EarningsRate,1,Components!$K49,0,-Components!T49*((1+InflationRate)^Components!$K49),0),R49)</f>
        <v>4810.4583031518778</v>
      </c>
      <c r="T49" s="11">
        <f>IF(Components!U49&gt;0,PPMT(EarningsRate,1,Components!$K49,0,-Components!U49*((1+InflationRate)^Components!$K49),0),S49)</f>
        <v>4810.4583031518778</v>
      </c>
      <c r="U49" s="11">
        <f>IF(Components!V49&gt;0,PPMT(EarningsRate,1,Components!$K49,0,-Components!V49*((1+InflationRate)^Components!$K49),0),T49)</f>
        <v>4810.4583031518778</v>
      </c>
      <c r="V49" s="11">
        <f>IF(Components!W49&gt;0,PPMT(EarningsRate,1,Components!$K49,0,-Components!W49*((1+InflationRate)^Components!$K49),0),U49)</f>
        <v>4810.4583031518778</v>
      </c>
      <c r="W49" s="11">
        <f>IF(Components!X49&gt;0,PPMT(EarningsRate,1,Components!$K49,0,-Components!X49*((1+InflationRate)^Components!$K49),0),V49)</f>
        <v>4810.4583031518778</v>
      </c>
      <c r="X49" s="11">
        <f>IF(Components!Y49&gt;0,PPMT(EarningsRate,1,Components!$K49,0,-Components!Y49*((1+InflationRate)^Components!$K49),0),W49)</f>
        <v>4810.4583031518778</v>
      </c>
      <c r="Y49" s="11">
        <f>IF(Components!Z49&gt;0,PPMT(EarningsRate,1,Components!$K49,0,-Components!Z49*((1+InflationRate)^Components!$K49),0),X49)</f>
        <v>4810.4583031518778</v>
      </c>
      <c r="Z49" s="11">
        <f>IF(Components!AA49&gt;0,PPMT(EarningsRate,1,Components!$K49,0,-Components!AA49*((1+InflationRate)^Components!$K49),0),Y49)</f>
        <v>4810.4583031518778</v>
      </c>
      <c r="AA49" s="11">
        <f>IF(Components!AB49&gt;0,PPMT(EarningsRate,1,Components!$K49,0,-Components!AB49*((1+InflationRate)^Components!$K49),0),Z49)</f>
        <v>4810.4583031518778</v>
      </c>
      <c r="AB49" s="11">
        <f>IF(Components!AC49&gt;0,PPMT(EarningsRate,1,Components!$K49,0,-Components!AC49*((1+InflationRate)^Components!$K49),0),AA49)</f>
        <v>4810.4583031518778</v>
      </c>
      <c r="AC49" s="11">
        <f>IF(Components!AD49&gt;0,PPMT(EarningsRate,1,Components!$K49,0,-Components!AD49*((1+InflationRate)^Components!$K49),0),AB49)</f>
        <v>4810.4583031518778</v>
      </c>
      <c r="AD49" s="11">
        <f>IF(Components!AE49&gt;0,PPMT(EarningsRate,1,Components!$K49,0,-Components!AE49*((1+InflationRate)^Components!$K49),0),AC49)</f>
        <v>4810.4583031518778</v>
      </c>
      <c r="AE49" s="11">
        <f>IF(Components!AF49&gt;0,PPMT(EarningsRate,1,Components!$K49,0,-Components!AF49*((1+InflationRate)^Components!$K49),0),AD49)</f>
        <v>4810.4583031518778</v>
      </c>
      <c r="AF49" s="11">
        <f>IF(Components!AG49&gt;0,PPMT(EarningsRate,1,Components!$K49,0,-Components!AG49*((1+InflationRate)^Components!$K49),0),AE49)</f>
        <v>4810.4583031518778</v>
      </c>
      <c r="AG49" s="11">
        <f>IF(Components!AH49&gt;0,PPMT(EarningsRate,1,Components!$K49,0,-Components!AH49*((1+InflationRate)^Components!$K49),0),AF49)</f>
        <v>4810.4583031518778</v>
      </c>
      <c r="AH49" s="11">
        <f>IF(Components!AI49&gt;0,PPMT(EarningsRate,1,Components!$K49,0,-Components!AI49*((1+InflationRate)^Components!$K49),0),AG49)</f>
        <v>4810.4583031518778</v>
      </c>
      <c r="AI49" s="11">
        <f>IF(Components!AJ49&gt;0,PPMT(EarningsRate,1,Components!$K49,0,-Components!AJ49*((1+InflationRate)^Components!$K49),0),AH49)</f>
        <v>4810.4583031518778</v>
      </c>
      <c r="AJ49" s="11">
        <f>IF(Components!AK49&gt;0,PPMT(EarningsRate,1,Components!$K49,0,-Components!AK49*((1+InflationRate)^Components!$K49),0),AI49)</f>
        <v>4810.4583031518778</v>
      </c>
      <c r="AK49" s="11">
        <f>IF(Components!AL49&gt;0,PPMT(EarningsRate,1,Components!$K49,0,-Components!AL49*((1+InflationRate)^Components!$K49),0),AJ49)</f>
        <v>4810.4583031518778</v>
      </c>
      <c r="AL49" s="11">
        <f>IF(Components!AM49&gt;0,PPMT(EarningsRate,1,Components!$K49,0,-Components!AM49*((1+InflationRate)^Components!$K49),0),AK49)</f>
        <v>4810.4583031518778</v>
      </c>
      <c r="AM49" s="11">
        <f>IF(Components!AN49&gt;0,PPMT(EarningsRate,1,Components!$K49,0,-Components!AN49*((1+InflationRate)^Components!$K49),0),AL49)</f>
        <v>4810.4583031518778</v>
      </c>
      <c r="AN49" s="11">
        <f>IF(Components!AO49&gt;0,PPMT(EarningsRate,1,Components!$K49,0,-Components!AO49*((1+InflationRate)^Components!$K49),0),AM49)</f>
        <v>4810.4583031518778</v>
      </c>
      <c r="AO49" s="11">
        <f>IF(Components!AP49&gt;0,PPMT(EarningsRate,1,Components!$K49,0,-Components!AP49*((1+InflationRate)^Components!$K49),0),AN49)</f>
        <v>4810.4583031518778</v>
      </c>
      <c r="AP49" s="214"/>
      <c r="AQ49" s="11">
        <f t="shared" si="1"/>
        <v>149124.20749770832</v>
      </c>
    </row>
    <row r="50" spans="1:43" s="1" customFormat="1">
      <c r="A50" s="220" t="str">
        <f>Components!B50</f>
        <v>Clubhouse Equip</v>
      </c>
      <c r="B50" s="220" t="str">
        <f>Components!C50</f>
        <v>Elevator Motor</v>
      </c>
      <c r="C50" s="211"/>
      <c r="D50" s="211"/>
      <c r="E50" s="211"/>
      <c r="F50" s="88"/>
      <c r="G50" s="212"/>
      <c r="H50" s="212"/>
      <c r="I50" s="212"/>
      <c r="J50" s="211"/>
      <c r="K50" s="11">
        <f>IF('FF Balance'!H50&gt;=0,PPMT(EarningsRate,1,Components!K50,0,-'FF Balance'!G50,0),0)</f>
        <v>1250.6529332555297</v>
      </c>
      <c r="L50" s="11">
        <f>IF(Components!M50&gt;0,PPMT(EarningsRate,1,Components!$K50,0,-Components!M50*((1+InflationRate)^Components!$K50),0),K50)</f>
        <v>1250.6529332555297</v>
      </c>
      <c r="M50" s="11">
        <f>IF(Components!N50&gt;0,PPMT(EarningsRate,1,Components!$K50,0,-Components!N50*((1+InflationRate)^Components!$K50),0),L50)</f>
        <v>1250.6529332555297</v>
      </c>
      <c r="N50" s="11">
        <f>IF(Components!O50&gt;0,PPMT(EarningsRate,1,Components!$K50,0,-Components!O50*((1+InflationRate)^Components!$K50),0),M50)</f>
        <v>1250.6529332555297</v>
      </c>
      <c r="O50" s="11">
        <f>IF(Components!P50&gt;0,PPMT(EarningsRate,1,Components!$K50,0,-Components!P50*((1+InflationRate)^Components!$K50),0),N50)</f>
        <v>1250.6529332555297</v>
      </c>
      <c r="P50" s="11">
        <f>IF(Components!Q50&gt;0,PPMT(EarningsRate,1,Components!$K50,0,-Components!Q50*((1+InflationRate)^Components!$K50),0),O50)</f>
        <v>1250.6529332555297</v>
      </c>
      <c r="Q50" s="11">
        <f>IF(Components!R50&gt;0,PPMT(EarningsRate,1,Components!$K50,0,-Components!R50*((1+InflationRate)^Components!$K50),0),P50)</f>
        <v>1250.6529332555297</v>
      </c>
      <c r="R50" s="11">
        <f>IF(Components!S50&gt;0,PPMT(EarningsRate,1,Components!$K50,0,-Components!S50*((1+InflationRate)^Components!$K50),0),Q50)</f>
        <v>1250.6529332555297</v>
      </c>
      <c r="S50" s="11">
        <f>IF(Components!T50&gt;0,PPMT(EarningsRate,1,Components!$K50,0,-Components!T50*((1+InflationRate)^Components!$K50),0),R50)</f>
        <v>2095.2799294064093</v>
      </c>
      <c r="T50" s="11">
        <f>IF(Components!U50&gt;0,PPMT(EarningsRate,1,Components!$K50,0,-Components!U50*((1+InflationRate)^Components!$K50),0),S50)</f>
        <v>2095.2799294064093</v>
      </c>
      <c r="U50" s="11">
        <f>IF(Components!V50&gt;0,PPMT(EarningsRate,1,Components!$K50,0,-Components!V50*((1+InflationRate)^Components!$K50),0),T50)</f>
        <v>2095.2799294064093</v>
      </c>
      <c r="V50" s="11">
        <f>IF(Components!W50&gt;0,PPMT(EarningsRate,1,Components!$K50,0,-Components!W50*((1+InflationRate)^Components!$K50),0),U50)</f>
        <v>2095.2799294064093</v>
      </c>
      <c r="W50" s="11">
        <f>IF(Components!X50&gt;0,PPMT(EarningsRate,1,Components!$K50,0,-Components!X50*((1+InflationRate)^Components!$K50),0),V50)</f>
        <v>2095.2799294064093</v>
      </c>
      <c r="X50" s="11">
        <f>IF(Components!Y50&gt;0,PPMT(EarningsRate,1,Components!$K50,0,-Components!Y50*((1+InflationRate)^Components!$K50),0),W50)</f>
        <v>2095.2799294064093</v>
      </c>
      <c r="Y50" s="11">
        <f>IF(Components!Z50&gt;0,PPMT(EarningsRate,1,Components!$K50,0,-Components!Z50*((1+InflationRate)^Components!$K50),0),X50)</f>
        <v>2095.2799294064093</v>
      </c>
      <c r="Z50" s="11">
        <f>IF(Components!AA50&gt;0,PPMT(EarningsRate,1,Components!$K50,0,-Components!AA50*((1+InflationRate)^Components!$K50),0),Y50)</f>
        <v>2095.2799294064093</v>
      </c>
      <c r="AA50" s="11">
        <f>IF(Components!AB50&gt;0,PPMT(EarningsRate,1,Components!$K50,0,-Components!AB50*((1+InflationRate)^Components!$K50),0),Z50)</f>
        <v>2095.2799294064093</v>
      </c>
      <c r="AB50" s="11">
        <f>IF(Components!AC50&gt;0,PPMT(EarningsRate,1,Components!$K50,0,-Components!AC50*((1+InflationRate)^Components!$K50),0),AA50)</f>
        <v>2095.2799294064093</v>
      </c>
      <c r="AC50" s="11">
        <f>IF(Components!AD50&gt;0,PPMT(EarningsRate,1,Components!$K50,0,-Components!AD50*((1+InflationRate)^Components!$K50),0),AB50)</f>
        <v>2095.2799294064093</v>
      </c>
      <c r="AD50" s="11">
        <f>IF(Components!AE50&gt;0,PPMT(EarningsRate,1,Components!$K50,0,-Components!AE50*((1+InflationRate)^Components!$K50),0),AC50)</f>
        <v>2095.2799294064093</v>
      </c>
      <c r="AE50" s="11">
        <f>IF(Components!AF50&gt;0,PPMT(EarningsRate,1,Components!$K50,0,-Components!AF50*((1+InflationRate)^Components!$K50),0),AD50)</f>
        <v>2095.2799294064093</v>
      </c>
      <c r="AF50" s="11">
        <f>IF(Components!AG50&gt;0,PPMT(EarningsRate,1,Components!$K50,0,-Components!AG50*((1+InflationRate)^Components!$K50),0),AE50)</f>
        <v>2095.2799294064093</v>
      </c>
      <c r="AG50" s="11">
        <f>IF(Components!AH50&gt;0,PPMT(EarningsRate,1,Components!$K50,0,-Components!AH50*((1+InflationRate)^Components!$K50),0),AF50)</f>
        <v>2095.2799294064093</v>
      </c>
      <c r="AH50" s="11">
        <f>IF(Components!AI50&gt;0,PPMT(EarningsRate,1,Components!$K50,0,-Components!AI50*((1+InflationRate)^Components!$K50),0),AG50)</f>
        <v>3510.2791638074696</v>
      </c>
      <c r="AI50" s="11">
        <f>IF(Components!AJ50&gt;0,PPMT(EarningsRate,1,Components!$K50,0,-Components!AJ50*((1+InflationRate)^Components!$K50),0),AH50)</f>
        <v>3510.2791638074696</v>
      </c>
      <c r="AJ50" s="11">
        <f>IF(Components!AK50&gt;0,PPMT(EarningsRate,1,Components!$K50,0,-Components!AK50*((1+InflationRate)^Components!$K50),0),AI50)</f>
        <v>3510.2791638074696</v>
      </c>
      <c r="AK50" s="11">
        <f>IF(Components!AL50&gt;0,PPMT(EarningsRate,1,Components!$K50,0,-Components!AL50*((1+InflationRate)^Components!$K50),0),AJ50)</f>
        <v>3510.2791638074696</v>
      </c>
      <c r="AL50" s="11">
        <f>IF(Components!AM50&gt;0,PPMT(EarningsRate,1,Components!$K50,0,-Components!AM50*((1+InflationRate)^Components!$K50),0),AK50)</f>
        <v>3510.2791638074696</v>
      </c>
      <c r="AM50" s="11">
        <f>IF(Components!AN50&gt;0,PPMT(EarningsRate,1,Components!$K50,0,-Components!AN50*((1+InflationRate)^Components!$K50),0),AL50)</f>
        <v>3510.2791638074696</v>
      </c>
      <c r="AN50" s="11">
        <f>IF(Components!AO50&gt;0,PPMT(EarningsRate,1,Components!$K50,0,-Components!AO50*((1+InflationRate)^Components!$K50),0),AM50)</f>
        <v>3510.2791638074696</v>
      </c>
      <c r="AO50" s="11">
        <f>IF(Components!AP50&gt;0,PPMT(EarningsRate,1,Components!$K50,0,-Components!AP50*((1+InflationRate)^Components!$K50),0),AN50)</f>
        <v>3510.2791638074696</v>
      </c>
      <c r="AP50" s="214"/>
      <c r="AQ50" s="11">
        <f t="shared" si="1"/>
        <v>69516.655817600142</v>
      </c>
    </row>
    <row r="51" spans="1:43" s="1" customFormat="1">
      <c r="A51" s="220" t="str">
        <f>Components!B51</f>
        <v>Clubhouse Equip</v>
      </c>
      <c r="B51" s="220" t="str">
        <f>Components!C51</f>
        <v>Elevator Tank Assembly</v>
      </c>
      <c r="C51" s="211"/>
      <c r="D51" s="211"/>
      <c r="E51" s="211"/>
      <c r="F51" s="88"/>
      <c r="G51" s="212"/>
      <c r="H51" s="212"/>
      <c r="I51" s="212"/>
      <c r="J51" s="211"/>
      <c r="K51" s="11">
        <f>IF('FF Balance'!H51&gt;=0,PPMT(EarningsRate,1,Components!K51,0,-'FF Balance'!G51,0),0)</f>
        <v>768.41815522723255</v>
      </c>
      <c r="L51" s="11">
        <f>IF(Components!M51&gt;0,PPMT(EarningsRate,1,Components!$K51,0,-Components!M51*((1+InflationRate)^Components!$K51),0),K51)</f>
        <v>768.41815522723255</v>
      </c>
      <c r="M51" s="11">
        <f>IF(Components!N51&gt;0,PPMT(EarningsRate,1,Components!$K51,0,-Components!N51*((1+InflationRate)^Components!$K51),0),L51)</f>
        <v>768.41815522723255</v>
      </c>
      <c r="N51" s="11">
        <f>IF(Components!O51&gt;0,PPMT(EarningsRate,1,Components!$K51,0,-Components!O51*((1+InflationRate)^Components!$K51),0),M51)</f>
        <v>768.41815522723255</v>
      </c>
      <c r="O51" s="11">
        <f>IF(Components!P51&gt;0,PPMT(EarningsRate,1,Components!$K51,0,-Components!P51*((1+InflationRate)^Components!$K51),0),N51)</f>
        <v>768.41815522723255</v>
      </c>
      <c r="P51" s="11">
        <f>IF(Components!Q51&gt;0,PPMT(EarningsRate,1,Components!$K51,0,-Components!Q51*((1+InflationRate)^Components!$K51),0),O51)</f>
        <v>768.41815522723255</v>
      </c>
      <c r="Q51" s="11">
        <f>IF(Components!R51&gt;0,PPMT(EarningsRate,1,Components!$K51,0,-Components!R51*((1+InflationRate)^Components!$K51),0),P51)</f>
        <v>768.41815522723255</v>
      </c>
      <c r="R51" s="11">
        <f>IF(Components!S51&gt;0,PPMT(EarningsRate,1,Components!$K51,0,-Components!S51*((1+InflationRate)^Components!$K51),0),Q51)</f>
        <v>768.41815522723255</v>
      </c>
      <c r="S51" s="11">
        <f>IF(Components!T51&gt;0,PPMT(EarningsRate,1,Components!$K51,0,-Components!T51*((1+InflationRate)^Components!$K51),0),R51)</f>
        <v>1287.3684578886753</v>
      </c>
      <c r="T51" s="11">
        <f>IF(Components!U51&gt;0,PPMT(EarningsRate,1,Components!$K51,0,-Components!U51*((1+InflationRate)^Components!$K51),0),S51)</f>
        <v>1287.3684578886753</v>
      </c>
      <c r="U51" s="11">
        <f>IF(Components!V51&gt;0,PPMT(EarningsRate,1,Components!$K51,0,-Components!V51*((1+InflationRate)^Components!$K51),0),T51)</f>
        <v>1287.3684578886753</v>
      </c>
      <c r="V51" s="11">
        <f>IF(Components!W51&gt;0,PPMT(EarningsRate,1,Components!$K51,0,-Components!W51*((1+InflationRate)^Components!$K51),0),U51)</f>
        <v>1287.3684578886753</v>
      </c>
      <c r="W51" s="11">
        <f>IF(Components!X51&gt;0,PPMT(EarningsRate,1,Components!$K51,0,-Components!X51*((1+InflationRate)^Components!$K51),0),V51)</f>
        <v>1287.3684578886753</v>
      </c>
      <c r="X51" s="11">
        <f>IF(Components!Y51&gt;0,PPMT(EarningsRate,1,Components!$K51,0,-Components!Y51*((1+InflationRate)^Components!$K51),0),W51)</f>
        <v>1287.3684578886753</v>
      </c>
      <c r="Y51" s="11">
        <f>IF(Components!Z51&gt;0,PPMT(EarningsRate,1,Components!$K51,0,-Components!Z51*((1+InflationRate)^Components!$K51),0),X51)</f>
        <v>1287.3684578886753</v>
      </c>
      <c r="Z51" s="11">
        <f>IF(Components!AA51&gt;0,PPMT(EarningsRate,1,Components!$K51,0,-Components!AA51*((1+InflationRate)^Components!$K51),0),Y51)</f>
        <v>1287.3684578886753</v>
      </c>
      <c r="AA51" s="11">
        <f>IF(Components!AB51&gt;0,PPMT(EarningsRate,1,Components!$K51,0,-Components!AB51*((1+InflationRate)^Components!$K51),0),Z51)</f>
        <v>1287.3684578886753</v>
      </c>
      <c r="AB51" s="11">
        <f>IF(Components!AC51&gt;0,PPMT(EarningsRate,1,Components!$K51,0,-Components!AC51*((1+InflationRate)^Components!$K51),0),AA51)</f>
        <v>1287.3684578886753</v>
      </c>
      <c r="AC51" s="11">
        <f>IF(Components!AD51&gt;0,PPMT(EarningsRate,1,Components!$K51,0,-Components!AD51*((1+InflationRate)^Components!$K51),0),AB51)</f>
        <v>1287.3684578886753</v>
      </c>
      <c r="AD51" s="11">
        <f>IF(Components!AE51&gt;0,PPMT(EarningsRate,1,Components!$K51,0,-Components!AE51*((1+InflationRate)^Components!$K51),0),AC51)</f>
        <v>1287.3684578886753</v>
      </c>
      <c r="AE51" s="11">
        <f>IF(Components!AF51&gt;0,PPMT(EarningsRate,1,Components!$K51,0,-Components!AF51*((1+InflationRate)^Components!$K51),0),AD51)</f>
        <v>1287.3684578886753</v>
      </c>
      <c r="AF51" s="11">
        <f>IF(Components!AG51&gt;0,PPMT(EarningsRate,1,Components!$K51,0,-Components!AG51*((1+InflationRate)^Components!$K51),0),AE51)</f>
        <v>1287.3684578886753</v>
      </c>
      <c r="AG51" s="11">
        <f>IF(Components!AH51&gt;0,PPMT(EarningsRate,1,Components!$K51,0,-Components!AH51*((1+InflationRate)^Components!$K51),0),AF51)</f>
        <v>1287.3684578886753</v>
      </c>
      <c r="AH51" s="11">
        <f>IF(Components!AI51&gt;0,PPMT(EarningsRate,1,Components!$K51,0,-Components!AI51*((1+InflationRate)^Components!$K51),0),AG51)</f>
        <v>2156.8350891410942</v>
      </c>
      <c r="AI51" s="11">
        <f>IF(Components!AJ51&gt;0,PPMT(EarningsRate,1,Components!$K51,0,-Components!AJ51*((1+InflationRate)^Components!$K51),0),AH51)</f>
        <v>2156.8350891410942</v>
      </c>
      <c r="AJ51" s="11">
        <f>IF(Components!AK51&gt;0,PPMT(EarningsRate,1,Components!$K51,0,-Components!AK51*((1+InflationRate)^Components!$K51),0),AI51)</f>
        <v>2156.8350891410942</v>
      </c>
      <c r="AK51" s="11">
        <f>IF(Components!AL51&gt;0,PPMT(EarningsRate,1,Components!$K51,0,-Components!AL51*((1+InflationRate)^Components!$K51),0),AJ51)</f>
        <v>2156.8350891410942</v>
      </c>
      <c r="AL51" s="11">
        <f>IF(Components!AM51&gt;0,PPMT(EarningsRate,1,Components!$K51,0,-Components!AM51*((1+InflationRate)^Components!$K51),0),AK51)</f>
        <v>2156.8350891410942</v>
      </c>
      <c r="AM51" s="11">
        <f>IF(Components!AN51&gt;0,PPMT(EarningsRate,1,Components!$K51,0,-Components!AN51*((1+InflationRate)^Components!$K51),0),AL51)</f>
        <v>2156.8350891410942</v>
      </c>
      <c r="AN51" s="11">
        <f>IF(Components!AO51&gt;0,PPMT(EarningsRate,1,Components!$K51,0,-Components!AO51*((1+InflationRate)^Components!$K51),0),AM51)</f>
        <v>2156.8350891410942</v>
      </c>
      <c r="AO51" s="11">
        <f>IF(Components!AP51&gt;0,PPMT(EarningsRate,1,Components!$K51,0,-Components!AP51*((1+InflationRate)^Components!$K51),0),AN51)</f>
        <v>2156.8350891410942</v>
      </c>
      <c r="AP51" s="214"/>
      <c r="AQ51" s="11">
        <f t="shared" si="1"/>
        <v>42712.552923276744</v>
      </c>
    </row>
    <row r="52" spans="1:43" s="1" customFormat="1">
      <c r="A52" s="220" t="str">
        <f>Components!B52</f>
        <v>Clubhouse Equip</v>
      </c>
      <c r="B52" s="220" t="str">
        <f>Components!C52</f>
        <v>Fire alarm system - Club</v>
      </c>
      <c r="C52" s="211"/>
      <c r="D52" s="211"/>
      <c r="E52" s="211"/>
      <c r="F52" s="88"/>
      <c r="G52" s="212"/>
      <c r="H52" s="212"/>
      <c r="I52" s="212"/>
      <c r="J52" s="211"/>
      <c r="K52" s="11">
        <f>IF('FF Balance'!H52&gt;=0,PPMT(EarningsRate,1,Components!K52,0,-'FF Balance'!G52,0),0)</f>
        <v>1738.7434193027414</v>
      </c>
      <c r="L52" s="11">
        <f>IF(Components!M52&gt;0,PPMT(EarningsRate,1,Components!$K52,0,-Components!M52*((1+InflationRate)^Components!$K52),0),K52)</f>
        <v>1738.7434193027414</v>
      </c>
      <c r="M52" s="11">
        <f>IF(Components!N52&gt;0,PPMT(EarningsRate,1,Components!$K52,0,-Components!N52*((1+InflationRate)^Components!$K52),0),L52)</f>
        <v>1738.7434193027414</v>
      </c>
      <c r="N52" s="11">
        <f>IF(Components!O52&gt;0,PPMT(EarningsRate,1,Components!$K52,0,-Components!O52*((1+InflationRate)^Components!$K52),0),M52)</f>
        <v>1738.7434193027414</v>
      </c>
      <c r="O52" s="11">
        <f>IF(Components!P52&gt;0,PPMT(EarningsRate,1,Components!$K52,0,-Components!P52*((1+InflationRate)^Components!$K52),0),N52)</f>
        <v>1738.7434193027414</v>
      </c>
      <c r="P52" s="11">
        <f>IF(Components!Q52&gt;0,PPMT(EarningsRate,1,Components!$K52,0,-Components!Q52*((1+InflationRate)^Components!$K52),0),O52)</f>
        <v>1738.7434193027414</v>
      </c>
      <c r="Q52" s="11">
        <f>IF(Components!R52&gt;0,PPMT(EarningsRate,1,Components!$K52,0,-Components!R52*((1+InflationRate)^Components!$K52),0),P52)</f>
        <v>1738.7434193027414</v>
      </c>
      <c r="R52" s="11">
        <f>IF(Components!S52&gt;0,PPMT(EarningsRate,1,Components!$K52,0,-Components!S52*((1+InflationRate)^Components!$K52),0),Q52)</f>
        <v>1738.7434193027414</v>
      </c>
      <c r="S52" s="11">
        <f>IF(Components!T52&gt;0,PPMT(EarningsRate,1,Components!$K52,0,-Components!T52*((1+InflationRate)^Components!$K52),0),R52)</f>
        <v>2913.001754506859</v>
      </c>
      <c r="T52" s="11">
        <f>IF(Components!U52&gt;0,PPMT(EarningsRate,1,Components!$K52,0,-Components!U52*((1+InflationRate)^Components!$K52),0),S52)</f>
        <v>2913.001754506859</v>
      </c>
      <c r="U52" s="11">
        <f>IF(Components!V52&gt;0,PPMT(EarningsRate,1,Components!$K52,0,-Components!V52*((1+InflationRate)^Components!$K52),0),T52)</f>
        <v>2913.001754506859</v>
      </c>
      <c r="V52" s="11">
        <f>IF(Components!W52&gt;0,PPMT(EarningsRate,1,Components!$K52,0,-Components!W52*((1+InflationRate)^Components!$K52),0),U52)</f>
        <v>2913.001754506859</v>
      </c>
      <c r="W52" s="11">
        <f>IF(Components!X52&gt;0,PPMT(EarningsRate,1,Components!$K52,0,-Components!X52*((1+InflationRate)^Components!$K52),0),V52)</f>
        <v>2913.001754506859</v>
      </c>
      <c r="X52" s="11">
        <f>IF(Components!Y52&gt;0,PPMT(EarningsRate,1,Components!$K52,0,-Components!Y52*((1+InflationRate)^Components!$K52),0),W52)</f>
        <v>2913.001754506859</v>
      </c>
      <c r="Y52" s="11">
        <f>IF(Components!Z52&gt;0,PPMT(EarningsRate,1,Components!$K52,0,-Components!Z52*((1+InflationRate)^Components!$K52),0),X52)</f>
        <v>2913.001754506859</v>
      </c>
      <c r="Z52" s="11">
        <f>IF(Components!AA52&gt;0,PPMT(EarningsRate,1,Components!$K52,0,-Components!AA52*((1+InflationRate)^Components!$K52),0),Y52)</f>
        <v>2913.001754506859</v>
      </c>
      <c r="AA52" s="11">
        <f>IF(Components!AB52&gt;0,PPMT(EarningsRate,1,Components!$K52,0,-Components!AB52*((1+InflationRate)^Components!$K52),0),Z52)</f>
        <v>2913.001754506859</v>
      </c>
      <c r="AB52" s="11">
        <f>IF(Components!AC52&gt;0,PPMT(EarningsRate,1,Components!$K52,0,-Components!AC52*((1+InflationRate)^Components!$K52),0),AA52)</f>
        <v>2913.001754506859</v>
      </c>
      <c r="AC52" s="11">
        <f>IF(Components!AD52&gt;0,PPMT(EarningsRate,1,Components!$K52,0,-Components!AD52*((1+InflationRate)^Components!$K52),0),AB52)</f>
        <v>2913.001754506859</v>
      </c>
      <c r="AD52" s="11">
        <f>IF(Components!AE52&gt;0,PPMT(EarningsRate,1,Components!$K52,0,-Components!AE52*((1+InflationRate)^Components!$K52),0),AC52)</f>
        <v>2913.001754506859</v>
      </c>
      <c r="AE52" s="11">
        <f>IF(Components!AF52&gt;0,PPMT(EarningsRate,1,Components!$K52,0,-Components!AF52*((1+InflationRate)^Components!$K52),0),AD52)</f>
        <v>2913.001754506859</v>
      </c>
      <c r="AF52" s="11">
        <f>IF(Components!AG52&gt;0,PPMT(EarningsRate,1,Components!$K52,0,-Components!AG52*((1+InflationRate)^Components!$K52),0),AE52)</f>
        <v>2913.001754506859</v>
      </c>
      <c r="AG52" s="11">
        <f>IF(Components!AH52&gt;0,PPMT(EarningsRate,1,Components!$K52,0,-Components!AH52*((1+InflationRate)^Components!$K52),0),AF52)</f>
        <v>2913.001754506859</v>
      </c>
      <c r="AH52" s="11">
        <f>IF(Components!AI52&gt;0,PPMT(EarningsRate,1,Components!$K52,0,-Components!AI52*((1+InflationRate)^Components!$K52),0),AG52)</f>
        <v>4880.2661876525417</v>
      </c>
      <c r="AI52" s="11">
        <f>IF(Components!AJ52&gt;0,PPMT(EarningsRate,1,Components!$K52,0,-Components!AJ52*((1+InflationRate)^Components!$K52),0),AH52)</f>
        <v>4880.2661876525417</v>
      </c>
      <c r="AJ52" s="11">
        <f>IF(Components!AK52&gt;0,PPMT(EarningsRate,1,Components!$K52,0,-Components!AK52*((1+InflationRate)^Components!$K52),0),AI52)</f>
        <v>4880.2661876525417</v>
      </c>
      <c r="AK52" s="11">
        <f>IF(Components!AL52&gt;0,PPMT(EarningsRate,1,Components!$K52,0,-Components!AL52*((1+InflationRate)^Components!$K52),0),AJ52)</f>
        <v>4880.2661876525417</v>
      </c>
      <c r="AL52" s="11">
        <f>IF(Components!AM52&gt;0,PPMT(EarningsRate,1,Components!$K52,0,-Components!AM52*((1+InflationRate)^Components!$K52),0),AK52)</f>
        <v>4880.2661876525417</v>
      </c>
      <c r="AM52" s="11">
        <f>IF(Components!AN52&gt;0,PPMT(EarningsRate,1,Components!$K52,0,-Components!AN52*((1+InflationRate)^Components!$K52),0),AL52)</f>
        <v>4880.2661876525417</v>
      </c>
      <c r="AN52" s="11">
        <f>IF(Components!AO52&gt;0,PPMT(EarningsRate,1,Components!$K52,0,-Components!AO52*((1+InflationRate)^Components!$K52),0),AM52)</f>
        <v>4880.2661876525417</v>
      </c>
      <c r="AO52" s="11">
        <f>IF(Components!AP52&gt;0,PPMT(EarningsRate,1,Components!$K52,0,-Components!AP52*((1+InflationRate)^Components!$K52),0),AN52)</f>
        <v>4880.2661876525417</v>
      </c>
      <c r="AP52" s="214"/>
      <c r="AQ52" s="11">
        <f t="shared" si="1"/>
        <v>96647.103273245157</v>
      </c>
    </row>
    <row r="53" spans="1:43" s="1" customFormat="1">
      <c r="A53" s="220" t="str">
        <f>Components!B53</f>
        <v>Clubhouse Equip</v>
      </c>
      <c r="B53" s="220" t="str">
        <f>Components!C53</f>
        <v xml:space="preserve">Kilns </v>
      </c>
      <c r="C53" s="211"/>
      <c r="D53" s="211"/>
      <c r="E53" s="211"/>
      <c r="F53" s="88"/>
      <c r="G53" s="212"/>
      <c r="H53" s="212"/>
      <c r="I53" s="212"/>
      <c r="J53" s="211"/>
      <c r="K53" s="11">
        <f>IF('FF Balance'!H53&gt;=0,PPMT(EarningsRate,1,Components!K53,0,-'FF Balance'!G53,0),0)</f>
        <v>2564.7471641493103</v>
      </c>
      <c r="L53" s="11">
        <f>IF(Components!M53&gt;0,PPMT(EarningsRate,1,Components!$K53,0,-Components!M53*((1+InflationRate)^Components!$K53),0),K53)</f>
        <v>2564.7471641493103</v>
      </c>
      <c r="M53" s="11">
        <f>IF(Components!N53&gt;0,PPMT(EarningsRate,1,Components!$K53,0,-Components!N53*((1+InflationRate)^Components!$K53),0),L53)</f>
        <v>2564.7471641493103</v>
      </c>
      <c r="N53" s="11">
        <f>IF(Components!O53&gt;0,PPMT(EarningsRate,1,Components!$K53,0,-Components!O53*((1+InflationRate)^Components!$K53),0),M53)</f>
        <v>3617.8291710555523</v>
      </c>
      <c r="O53" s="11">
        <f>IF(Components!P53&gt;0,PPMT(EarningsRate,1,Components!$K53,0,-Components!P53*((1+InflationRate)^Components!$K53),0),N53)</f>
        <v>3617.8291710555523</v>
      </c>
      <c r="P53" s="11">
        <f>IF(Components!Q53&gt;0,PPMT(EarningsRate,1,Components!$K53,0,-Components!Q53*((1+InflationRate)^Components!$K53),0),O53)</f>
        <v>3617.8291710555523</v>
      </c>
      <c r="Q53" s="11">
        <f>IF(Components!R53&gt;0,PPMT(EarningsRate,1,Components!$K53,0,-Components!R53*((1+InflationRate)^Components!$K53),0),P53)</f>
        <v>3617.8291710555523</v>
      </c>
      <c r="R53" s="11">
        <f>IF(Components!S53&gt;0,PPMT(EarningsRate,1,Components!$K53,0,-Components!S53*((1+InflationRate)^Components!$K53),0),Q53)</f>
        <v>3617.8291710555523</v>
      </c>
      <c r="S53" s="11">
        <f>IF(Components!T53&gt;0,PPMT(EarningsRate,1,Components!$K53,0,-Components!T53*((1+InflationRate)^Components!$K53),0),R53)</f>
        <v>3617.8291710555523</v>
      </c>
      <c r="T53" s="11">
        <f>IF(Components!U53&gt;0,PPMT(EarningsRate,1,Components!$K53,0,-Components!U53*((1+InflationRate)^Components!$K53),0),S53)</f>
        <v>3617.8291710555523</v>
      </c>
      <c r="U53" s="11">
        <f>IF(Components!V53&gt;0,PPMT(EarningsRate,1,Components!$K53,0,-Components!V53*((1+InflationRate)^Components!$K53),0),T53)</f>
        <v>3617.8291710555523</v>
      </c>
      <c r="V53" s="11">
        <f>IF(Components!W53&gt;0,PPMT(EarningsRate,1,Components!$K53,0,-Components!W53*((1+InflationRate)^Components!$K53),0),U53)</f>
        <v>3617.8291710555523</v>
      </c>
      <c r="W53" s="11">
        <f>IF(Components!X53&gt;0,PPMT(EarningsRate,1,Components!$K53,0,-Components!X53*((1+InflationRate)^Components!$K53),0),V53)</f>
        <v>3617.8291710555523</v>
      </c>
      <c r="X53" s="11">
        <f>IF(Components!Y53&gt;0,PPMT(EarningsRate,1,Components!$K53,0,-Components!Y53*((1+InflationRate)^Components!$K53),0),W53)</f>
        <v>5103.3294233420784</v>
      </c>
      <c r="Y53" s="11">
        <f>IF(Components!Z53&gt;0,PPMT(EarningsRate,1,Components!$K53,0,-Components!Z53*((1+InflationRate)^Components!$K53),0),X53)</f>
        <v>5103.3294233420784</v>
      </c>
      <c r="Z53" s="11">
        <f>IF(Components!AA53&gt;0,PPMT(EarningsRate,1,Components!$K53,0,-Components!AA53*((1+InflationRate)^Components!$K53),0),Y53)</f>
        <v>5103.3294233420784</v>
      </c>
      <c r="AA53" s="11">
        <f>IF(Components!AB53&gt;0,PPMT(EarningsRate,1,Components!$K53,0,-Components!AB53*((1+InflationRate)^Components!$K53),0),Z53)</f>
        <v>5103.3294233420784</v>
      </c>
      <c r="AB53" s="11">
        <f>IF(Components!AC53&gt;0,PPMT(EarningsRate,1,Components!$K53,0,-Components!AC53*((1+InflationRate)^Components!$K53),0),AA53)</f>
        <v>5103.3294233420784</v>
      </c>
      <c r="AC53" s="11">
        <f>IF(Components!AD53&gt;0,PPMT(EarningsRate,1,Components!$K53,0,-Components!AD53*((1+InflationRate)^Components!$K53),0),AB53)</f>
        <v>5103.3294233420784</v>
      </c>
      <c r="AD53" s="11">
        <f>IF(Components!AE53&gt;0,PPMT(EarningsRate,1,Components!$K53,0,-Components!AE53*((1+InflationRate)^Components!$K53),0),AC53)</f>
        <v>5103.3294233420784</v>
      </c>
      <c r="AE53" s="11">
        <f>IF(Components!AF53&gt;0,PPMT(EarningsRate,1,Components!$K53,0,-Components!AF53*((1+InflationRate)^Components!$K53),0),AD53)</f>
        <v>5103.3294233420784</v>
      </c>
      <c r="AF53" s="11">
        <f>IF(Components!AG53&gt;0,PPMT(EarningsRate,1,Components!$K53,0,-Components!AG53*((1+InflationRate)^Components!$K53),0),AE53)</f>
        <v>5103.3294233420784</v>
      </c>
      <c r="AG53" s="11">
        <f>IF(Components!AH53&gt;0,PPMT(EarningsRate,1,Components!$K53,0,-Components!AH53*((1+InflationRate)^Components!$K53),0),AF53)</f>
        <v>5103.3294233420784</v>
      </c>
      <c r="AH53" s="11">
        <f>IF(Components!AI53&gt;0,PPMT(EarningsRate,1,Components!$K53,0,-Components!AI53*((1+InflationRate)^Components!$K53),0),AG53)</f>
        <v>7198.7260153967973</v>
      </c>
      <c r="AI53" s="11">
        <f>IF(Components!AJ53&gt;0,PPMT(EarningsRate,1,Components!$K53,0,-Components!AJ53*((1+InflationRate)^Components!$K53),0),AH53)</f>
        <v>7198.7260153967973</v>
      </c>
      <c r="AJ53" s="11">
        <f>IF(Components!AK53&gt;0,PPMT(EarningsRate,1,Components!$K53,0,-Components!AK53*((1+InflationRate)^Components!$K53),0),AI53)</f>
        <v>7198.7260153967973</v>
      </c>
      <c r="AK53" s="11">
        <f>IF(Components!AL53&gt;0,PPMT(EarningsRate,1,Components!$K53,0,-Components!AL53*((1+InflationRate)^Components!$K53),0),AJ53)</f>
        <v>7198.7260153967973</v>
      </c>
      <c r="AL53" s="11">
        <f>IF(Components!AM53&gt;0,PPMT(EarningsRate,1,Components!$K53,0,-Components!AM53*((1+InflationRate)^Components!$K53),0),AK53)</f>
        <v>7198.7260153967973</v>
      </c>
      <c r="AM53" s="11">
        <f>IF(Components!AN53&gt;0,PPMT(EarningsRate,1,Components!$K53,0,-Components!AN53*((1+InflationRate)^Components!$K53),0),AL53)</f>
        <v>7198.7260153967973</v>
      </c>
      <c r="AN53" s="11">
        <f>IF(Components!AO53&gt;0,PPMT(EarningsRate,1,Components!$K53,0,-Components!AO53*((1+InflationRate)^Components!$K53),0),AM53)</f>
        <v>7198.7260153967973</v>
      </c>
      <c r="AO53" s="11">
        <f>IF(Components!AP53&gt;0,PPMT(EarningsRate,1,Components!$K53,0,-Components!AP53*((1+InflationRate)^Components!$K53),0),AN53)</f>
        <v>7198.7260153967973</v>
      </c>
      <c r="AP53" s="214"/>
      <c r="AQ53" s="11">
        <f t="shared" si="1"/>
        <v>152495.63565959857</v>
      </c>
    </row>
    <row r="54" spans="1:43" s="1" customFormat="1">
      <c r="A54" s="220" t="str">
        <f>Components!B54</f>
        <v>Clubhouse Equip</v>
      </c>
      <c r="B54" s="220" t="str">
        <f>Components!C54</f>
        <v>Lobby chairs</v>
      </c>
      <c r="C54" s="211"/>
      <c r="D54" s="211"/>
      <c r="E54" s="211"/>
      <c r="F54" s="88"/>
      <c r="G54" s="212"/>
      <c r="H54" s="212"/>
      <c r="I54" s="212"/>
      <c r="J54" s="211"/>
      <c r="K54" s="11">
        <f>IF('FF Balance'!H54&gt;=0,PPMT(EarningsRate,1,Components!K54,0,-'FF Balance'!G54,0),0)</f>
        <v>841.71958094150636</v>
      </c>
      <c r="L54" s="11">
        <f>IF(Components!M54&gt;0,PPMT(EarningsRate,1,Components!$K54,0,-Components!M54*((1+InflationRate)^Components!$K54),0),K54)</f>
        <v>841.71958094150636</v>
      </c>
      <c r="M54" s="11">
        <f>IF(Components!N54&gt;0,PPMT(EarningsRate,1,Components!$K54,0,-Components!N54*((1+InflationRate)^Components!$K54),0),L54)</f>
        <v>1147.1773890498728</v>
      </c>
      <c r="N54" s="11">
        <f>IF(Components!O54&gt;0,PPMT(EarningsRate,1,Components!$K54,0,-Components!O54*((1+InflationRate)^Components!$K54),0),M54)</f>
        <v>1147.1773890498728</v>
      </c>
      <c r="O54" s="11">
        <f>IF(Components!P54&gt;0,PPMT(EarningsRate,1,Components!$K54,0,-Components!P54*((1+InflationRate)^Components!$K54),0),N54)</f>
        <v>1147.1773890498728</v>
      </c>
      <c r="P54" s="11">
        <f>IF(Components!Q54&gt;0,PPMT(EarningsRate,1,Components!$K54,0,-Components!Q54*((1+InflationRate)^Components!$K54),0),O54)</f>
        <v>1147.1773890498728</v>
      </c>
      <c r="Q54" s="11">
        <f>IF(Components!R54&gt;0,PPMT(EarningsRate,1,Components!$K54,0,-Components!R54*((1+InflationRate)^Components!$K54),0),P54)</f>
        <v>1147.1773890498728</v>
      </c>
      <c r="R54" s="11">
        <f>IF(Components!S54&gt;0,PPMT(EarningsRate,1,Components!$K54,0,-Components!S54*((1+InflationRate)^Components!$K54),0),Q54)</f>
        <v>1147.1773890498728</v>
      </c>
      <c r="S54" s="11">
        <f>IF(Components!T54&gt;0,PPMT(EarningsRate,1,Components!$K54,0,-Components!T54*((1+InflationRate)^Components!$K54),0),R54)</f>
        <v>1147.1773890498728</v>
      </c>
      <c r="T54" s="11">
        <f>IF(Components!U54&gt;0,PPMT(EarningsRate,1,Components!$K54,0,-Components!U54*((1+InflationRate)^Components!$K54),0),S54)</f>
        <v>1147.1773890498728</v>
      </c>
      <c r="U54" s="11">
        <f>IF(Components!V54&gt;0,PPMT(EarningsRate,1,Components!$K54,0,-Components!V54*((1+InflationRate)^Components!$K54),0),T54)</f>
        <v>1147.1773890498728</v>
      </c>
      <c r="V54" s="11">
        <f>IF(Components!W54&gt;0,PPMT(EarningsRate,1,Components!$K54,0,-Components!W54*((1+InflationRate)^Components!$K54),0),U54)</f>
        <v>1563.5231857550182</v>
      </c>
      <c r="W54" s="11">
        <f>IF(Components!X54&gt;0,PPMT(EarningsRate,1,Components!$K54,0,-Components!X54*((1+InflationRate)^Components!$K54),0),V54)</f>
        <v>1563.5231857550182</v>
      </c>
      <c r="X54" s="11">
        <f>IF(Components!Y54&gt;0,PPMT(EarningsRate,1,Components!$K54,0,-Components!Y54*((1+InflationRate)^Components!$K54),0),W54)</f>
        <v>1563.5231857550182</v>
      </c>
      <c r="Y54" s="11">
        <f>IF(Components!Z54&gt;0,PPMT(EarningsRate,1,Components!$K54,0,-Components!Z54*((1+InflationRate)^Components!$K54),0),X54)</f>
        <v>1563.5231857550182</v>
      </c>
      <c r="Z54" s="11">
        <f>IF(Components!AA54&gt;0,PPMT(EarningsRate,1,Components!$K54,0,-Components!AA54*((1+InflationRate)^Components!$K54),0),Y54)</f>
        <v>1563.5231857550182</v>
      </c>
      <c r="AA54" s="11">
        <f>IF(Components!AB54&gt;0,PPMT(EarningsRate,1,Components!$K54,0,-Components!AB54*((1+InflationRate)^Components!$K54),0),Z54)</f>
        <v>1563.5231857550182</v>
      </c>
      <c r="AB54" s="11">
        <f>IF(Components!AC54&gt;0,PPMT(EarningsRate,1,Components!$K54,0,-Components!AC54*((1+InflationRate)^Components!$K54),0),AA54)</f>
        <v>1563.5231857550182</v>
      </c>
      <c r="AC54" s="11">
        <f>IF(Components!AD54&gt;0,PPMT(EarningsRate,1,Components!$K54,0,-Components!AD54*((1+InflationRate)^Components!$K54),0),AB54)</f>
        <v>1563.5231857550182</v>
      </c>
      <c r="AD54" s="11">
        <f>IF(Components!AE54&gt;0,PPMT(EarningsRate,1,Components!$K54,0,-Components!AE54*((1+InflationRate)^Components!$K54),0),AC54)</f>
        <v>1563.5231857550182</v>
      </c>
      <c r="AE54" s="11">
        <f>IF(Components!AF54&gt;0,PPMT(EarningsRate,1,Components!$K54,0,-Components!AF54*((1+InflationRate)^Components!$K54),0),AD54)</f>
        <v>2130.9891479754674</v>
      </c>
      <c r="AF54" s="11">
        <f>IF(Components!AG54&gt;0,PPMT(EarningsRate,1,Components!$K54,0,-Components!AG54*((1+InflationRate)^Components!$K54),0),AE54)</f>
        <v>2130.9891479754674</v>
      </c>
      <c r="AG54" s="11">
        <f>IF(Components!AH54&gt;0,PPMT(EarningsRate,1,Components!$K54,0,-Components!AH54*((1+InflationRate)^Components!$K54),0),AF54)</f>
        <v>2130.9891479754674</v>
      </c>
      <c r="AH54" s="11">
        <f>IF(Components!AI54&gt;0,PPMT(EarningsRate,1,Components!$K54,0,-Components!AI54*((1+InflationRate)^Components!$K54),0),AG54)</f>
        <v>2130.9891479754674</v>
      </c>
      <c r="AI54" s="11">
        <f>IF(Components!AJ54&gt;0,PPMT(EarningsRate,1,Components!$K54,0,-Components!AJ54*((1+InflationRate)^Components!$K54),0),AH54)</f>
        <v>2130.9891479754674</v>
      </c>
      <c r="AJ54" s="11">
        <f>IF(Components!AK54&gt;0,PPMT(EarningsRate,1,Components!$K54,0,-Components!AK54*((1+InflationRate)^Components!$K54),0),AI54)</f>
        <v>2130.9891479754674</v>
      </c>
      <c r="AK54" s="11">
        <f>IF(Components!AL54&gt;0,PPMT(EarningsRate,1,Components!$K54,0,-Components!AL54*((1+InflationRate)^Components!$K54),0),AJ54)</f>
        <v>2130.9891479754674</v>
      </c>
      <c r="AL54" s="11">
        <f>IF(Components!AM54&gt;0,PPMT(EarningsRate,1,Components!$K54,0,-Components!AM54*((1+InflationRate)^Components!$K54),0),AK54)</f>
        <v>2130.9891479754674</v>
      </c>
      <c r="AM54" s="11">
        <f>IF(Components!AN54&gt;0,PPMT(EarningsRate,1,Components!$K54,0,-Components!AN54*((1+InflationRate)^Components!$K54),0),AL54)</f>
        <v>2130.9891479754674</v>
      </c>
      <c r="AN54" s="11">
        <f>IF(Components!AO54&gt;0,PPMT(EarningsRate,1,Components!$K54,0,-Components!AO54*((1+InflationRate)^Components!$K54),0),AM54)</f>
        <v>2904.262407430846</v>
      </c>
      <c r="AO54" s="11">
        <f>IF(Components!AP54&gt;0,PPMT(EarningsRate,1,Components!$K54,0,-Components!AP54*((1+InflationRate)^Components!$K54),0),AN54)</f>
        <v>2904.262407430846</v>
      </c>
      <c r="AP54" s="214"/>
      <c r="AQ54" s="11">
        <f t="shared" si="1"/>
        <v>51067.171581767914</v>
      </c>
    </row>
    <row r="55" spans="1:43" s="1" customFormat="1">
      <c r="A55" s="220" t="str">
        <f>Components!B55</f>
        <v>Clubhouse Equip</v>
      </c>
      <c r="B55" s="220" t="str">
        <f>Components!C55</f>
        <v>Lobby, café chair, arms</v>
      </c>
      <c r="C55" s="211"/>
      <c r="D55" s="211"/>
      <c r="E55" s="211"/>
      <c r="F55" s="88"/>
      <c r="G55" s="212"/>
      <c r="H55" s="212"/>
      <c r="I55" s="212"/>
      <c r="J55" s="211"/>
      <c r="K55" s="11">
        <f>IF('FF Balance'!H55&gt;=0,PPMT(EarningsRate,1,Components!K55,0,-'FF Balance'!G55,0),0)</f>
        <v>860.50614121482477</v>
      </c>
      <c r="L55" s="11">
        <f>IF(Components!M55&gt;0,PPMT(EarningsRate,1,Components!$K55,0,-Components!M55*((1+InflationRate)^Components!$K55),0),K55)</f>
        <v>860.50614121482477</v>
      </c>
      <c r="M55" s="11">
        <f>IF(Components!N55&gt;0,PPMT(EarningsRate,1,Components!$K55,0,-Components!N55*((1+InflationRate)^Components!$K55),0),L55)</f>
        <v>1172.7815423231837</v>
      </c>
      <c r="N55" s="11">
        <f>IF(Components!O55&gt;0,PPMT(EarningsRate,1,Components!$K55,0,-Components!O55*((1+InflationRate)^Components!$K55),0),M55)</f>
        <v>1172.7815423231837</v>
      </c>
      <c r="O55" s="11">
        <f>IF(Components!P55&gt;0,PPMT(EarningsRate,1,Components!$K55,0,-Components!P55*((1+InflationRate)^Components!$K55),0),N55)</f>
        <v>1172.7815423231837</v>
      </c>
      <c r="P55" s="11">
        <f>IF(Components!Q55&gt;0,PPMT(EarningsRate,1,Components!$K55,0,-Components!Q55*((1+InflationRate)^Components!$K55),0),O55)</f>
        <v>1172.7815423231837</v>
      </c>
      <c r="Q55" s="11">
        <f>IF(Components!R55&gt;0,PPMT(EarningsRate,1,Components!$K55,0,-Components!R55*((1+InflationRate)^Components!$K55),0),P55)</f>
        <v>1172.7815423231837</v>
      </c>
      <c r="R55" s="11">
        <f>IF(Components!S55&gt;0,PPMT(EarningsRate,1,Components!$K55,0,-Components!S55*((1+InflationRate)^Components!$K55),0),Q55)</f>
        <v>1172.7815423231837</v>
      </c>
      <c r="S55" s="11">
        <f>IF(Components!T55&gt;0,PPMT(EarningsRate,1,Components!$K55,0,-Components!T55*((1+InflationRate)^Components!$K55),0),R55)</f>
        <v>1172.7815423231837</v>
      </c>
      <c r="T55" s="11">
        <f>IF(Components!U55&gt;0,PPMT(EarningsRate,1,Components!$K55,0,-Components!U55*((1+InflationRate)^Components!$K55),0),S55)</f>
        <v>1172.7815423231837</v>
      </c>
      <c r="U55" s="11">
        <f>IF(Components!V55&gt;0,PPMT(EarningsRate,1,Components!$K55,0,-Components!V55*((1+InflationRate)^Components!$K55),0),T55)</f>
        <v>1172.7815423231837</v>
      </c>
      <c r="V55" s="11">
        <f>IF(Components!W55&gt;0,PPMT(EarningsRate,1,Components!$K55,0,-Components!W55*((1+InflationRate)^Components!$K55),0),U55)</f>
        <v>1598.3114374850602</v>
      </c>
      <c r="W55" s="11">
        <f>IF(Components!X55&gt;0,PPMT(EarningsRate,1,Components!$K55,0,-Components!X55*((1+InflationRate)^Components!$K55),0),V55)</f>
        <v>1598.3114374850602</v>
      </c>
      <c r="X55" s="11">
        <f>IF(Components!Y55&gt;0,PPMT(EarningsRate,1,Components!$K55,0,-Components!Y55*((1+InflationRate)^Components!$K55),0),W55)</f>
        <v>1598.3114374850602</v>
      </c>
      <c r="Y55" s="11">
        <f>IF(Components!Z55&gt;0,PPMT(EarningsRate,1,Components!$K55,0,-Components!Z55*((1+InflationRate)^Components!$K55),0),X55)</f>
        <v>1598.3114374850602</v>
      </c>
      <c r="Z55" s="11">
        <f>IF(Components!AA55&gt;0,PPMT(EarningsRate,1,Components!$K55,0,-Components!AA55*((1+InflationRate)^Components!$K55),0),Y55)</f>
        <v>1598.3114374850602</v>
      </c>
      <c r="AA55" s="11">
        <f>IF(Components!AB55&gt;0,PPMT(EarningsRate,1,Components!$K55,0,-Components!AB55*((1+InflationRate)^Components!$K55),0),Z55)</f>
        <v>1598.3114374850602</v>
      </c>
      <c r="AB55" s="11">
        <f>IF(Components!AC55&gt;0,PPMT(EarningsRate,1,Components!$K55,0,-Components!AC55*((1+InflationRate)^Components!$K55),0),AA55)</f>
        <v>1598.3114374850602</v>
      </c>
      <c r="AC55" s="11">
        <f>IF(Components!AD55&gt;0,PPMT(EarningsRate,1,Components!$K55,0,-Components!AD55*((1+InflationRate)^Components!$K55),0),AB55)</f>
        <v>1598.3114374850602</v>
      </c>
      <c r="AD55" s="11">
        <f>IF(Components!AE55&gt;0,PPMT(EarningsRate,1,Components!$K55,0,-Components!AE55*((1+InflationRate)^Components!$K55),0),AC55)</f>
        <v>1598.3114374850602</v>
      </c>
      <c r="AE55" s="11">
        <f>IF(Components!AF55&gt;0,PPMT(EarningsRate,1,Components!$K55,0,-Components!AF55*((1+InflationRate)^Components!$K55),0),AD55)</f>
        <v>2178.3011703283241</v>
      </c>
      <c r="AF55" s="11">
        <f>IF(Components!AG55&gt;0,PPMT(EarningsRate,1,Components!$K55,0,-Components!AG55*((1+InflationRate)^Components!$K55),0),AE55)</f>
        <v>2178.3011703283241</v>
      </c>
      <c r="AG55" s="11">
        <f>IF(Components!AH55&gt;0,PPMT(EarningsRate,1,Components!$K55,0,-Components!AH55*((1+InflationRate)^Components!$K55),0),AF55)</f>
        <v>2178.3011703283241</v>
      </c>
      <c r="AH55" s="11">
        <f>IF(Components!AI55&gt;0,PPMT(EarningsRate,1,Components!$K55,0,-Components!AI55*((1+InflationRate)^Components!$K55),0),AG55)</f>
        <v>2178.3011703283241</v>
      </c>
      <c r="AI55" s="11">
        <f>IF(Components!AJ55&gt;0,PPMT(EarningsRate,1,Components!$K55,0,-Components!AJ55*((1+InflationRate)^Components!$K55),0),AH55)</f>
        <v>2178.3011703283241</v>
      </c>
      <c r="AJ55" s="11">
        <f>IF(Components!AK55&gt;0,PPMT(EarningsRate,1,Components!$K55,0,-Components!AK55*((1+InflationRate)^Components!$K55),0),AI55)</f>
        <v>2178.3011703283241</v>
      </c>
      <c r="AK55" s="11">
        <f>IF(Components!AL55&gt;0,PPMT(EarningsRate,1,Components!$K55,0,-Components!AL55*((1+InflationRate)^Components!$K55),0),AJ55)</f>
        <v>2178.3011703283241</v>
      </c>
      <c r="AL55" s="11">
        <f>IF(Components!AM55&gt;0,PPMT(EarningsRate,1,Components!$K55,0,-Components!AM55*((1+InflationRate)^Components!$K55),0),AK55)</f>
        <v>2178.3011703283241</v>
      </c>
      <c r="AM55" s="11">
        <f>IF(Components!AN55&gt;0,PPMT(EarningsRate,1,Components!$K55,0,-Components!AN55*((1+InflationRate)^Components!$K55),0),AL55)</f>
        <v>2178.3011703283241</v>
      </c>
      <c r="AN55" s="11">
        <f>IF(Components!AO55&gt;0,PPMT(EarningsRate,1,Components!$K55,0,-Components!AO55*((1+InflationRate)^Components!$K55),0),AM55)</f>
        <v>2968.8294026418039</v>
      </c>
      <c r="AO55" s="11">
        <f>IF(Components!AP55&gt;0,PPMT(EarningsRate,1,Components!$K55,0,-Components!AP55*((1+InflationRate)^Components!$K55),0),AN55)</f>
        <v>2968.8294026418039</v>
      </c>
      <c r="AP55" s="214"/>
      <c r="AQ55" s="11">
        <f t="shared" si="1"/>
        <v>52203.218538942368</v>
      </c>
    </row>
    <row r="56" spans="1:43" s="1" customFormat="1">
      <c r="A56" s="220" t="str">
        <f>Components!B56</f>
        <v>Clubhouse Equip</v>
      </c>
      <c r="B56" s="220" t="str">
        <f>Components!C56</f>
        <v>Locker Room Showers/Wall Tile</v>
      </c>
      <c r="C56" s="211"/>
      <c r="D56" s="211"/>
      <c r="E56" s="211"/>
      <c r="F56" s="88"/>
      <c r="G56" s="212"/>
      <c r="H56" s="212"/>
      <c r="I56" s="212"/>
      <c r="J56" s="211"/>
      <c r="K56" s="11">
        <f>IF('FF Balance'!H56&gt;=0,PPMT(EarningsRate,1,Components!K56,0,-'FF Balance'!G56,0),0)</f>
        <v>2494.7038427642428</v>
      </c>
      <c r="L56" s="11">
        <f>IF(Components!M56&gt;0,PPMT(EarningsRate,1,Components!$K56,0,-Components!M56*((1+InflationRate)^Components!$K56),0),K56)</f>
        <v>2494.7038427642428</v>
      </c>
      <c r="M56" s="11">
        <f>IF(Components!N56&gt;0,PPMT(EarningsRate,1,Components!$K56,0,-Components!N56*((1+InflationRate)^Components!$K56),0),L56)</f>
        <v>2494.7038427642428</v>
      </c>
      <c r="N56" s="11">
        <f>IF(Components!O56&gt;0,PPMT(EarningsRate,1,Components!$K56,0,-Components!O56*((1+InflationRate)^Components!$K56),0),M56)</f>
        <v>2494.7038427642428</v>
      </c>
      <c r="O56" s="11">
        <f>IF(Components!P56&gt;0,PPMT(EarningsRate,1,Components!$K56,0,-Components!P56*((1+InflationRate)^Components!$K56),0),N56)</f>
        <v>2494.7038427642428</v>
      </c>
      <c r="P56" s="11">
        <f>IF(Components!Q56&gt;0,PPMT(EarningsRate,1,Components!$K56,0,-Components!Q56*((1+InflationRate)^Components!$K56),0),O56)</f>
        <v>2494.7038427642428</v>
      </c>
      <c r="Q56" s="11">
        <f>IF(Components!R56&gt;0,PPMT(EarningsRate,1,Components!$K56,0,-Components!R56*((1+InflationRate)^Components!$K56),0),P56)</f>
        <v>2494.7038427642428</v>
      </c>
      <c r="R56" s="11">
        <f>IF(Components!S56&gt;0,PPMT(EarningsRate,1,Components!$K56,0,-Components!S56*((1+InflationRate)^Components!$K56),0),Q56)</f>
        <v>2494.7038427642428</v>
      </c>
      <c r="S56" s="11">
        <f>IF(Components!T56&gt;0,PPMT(EarningsRate,1,Components!$K56,0,-Components!T56*((1+InflationRate)^Components!$K56),0),R56)</f>
        <v>4179.4991660479927</v>
      </c>
      <c r="T56" s="11">
        <f>IF(Components!U56&gt;0,PPMT(EarningsRate,1,Components!$K56,0,-Components!U56*((1+InflationRate)^Components!$K56),0),S56)</f>
        <v>4179.4991660479927</v>
      </c>
      <c r="U56" s="11">
        <f>IF(Components!V56&gt;0,PPMT(EarningsRate,1,Components!$K56,0,-Components!V56*((1+InflationRate)^Components!$K56),0),T56)</f>
        <v>4179.4991660479927</v>
      </c>
      <c r="V56" s="11">
        <f>IF(Components!W56&gt;0,PPMT(EarningsRate,1,Components!$K56,0,-Components!W56*((1+InflationRate)^Components!$K56),0),U56)</f>
        <v>4179.4991660479927</v>
      </c>
      <c r="W56" s="11">
        <f>IF(Components!X56&gt;0,PPMT(EarningsRate,1,Components!$K56,0,-Components!X56*((1+InflationRate)^Components!$K56),0),V56)</f>
        <v>4179.4991660479927</v>
      </c>
      <c r="X56" s="11">
        <f>IF(Components!Y56&gt;0,PPMT(EarningsRate,1,Components!$K56,0,-Components!Y56*((1+InflationRate)^Components!$K56),0),W56)</f>
        <v>4179.4991660479927</v>
      </c>
      <c r="Y56" s="11">
        <f>IF(Components!Z56&gt;0,PPMT(EarningsRate,1,Components!$K56,0,-Components!Z56*((1+InflationRate)^Components!$K56),0),X56)</f>
        <v>4179.4991660479927</v>
      </c>
      <c r="Z56" s="11">
        <f>IF(Components!AA56&gt;0,PPMT(EarningsRate,1,Components!$K56,0,-Components!AA56*((1+InflationRate)^Components!$K56),0),Y56)</f>
        <v>4179.4991660479927</v>
      </c>
      <c r="AA56" s="11">
        <f>IF(Components!AB56&gt;0,PPMT(EarningsRate,1,Components!$K56,0,-Components!AB56*((1+InflationRate)^Components!$K56),0),Z56)</f>
        <v>4179.4991660479927</v>
      </c>
      <c r="AB56" s="11">
        <f>IF(Components!AC56&gt;0,PPMT(EarningsRate,1,Components!$K56,0,-Components!AC56*((1+InflationRate)^Components!$K56),0),AA56)</f>
        <v>4179.4991660479927</v>
      </c>
      <c r="AC56" s="11">
        <f>IF(Components!AD56&gt;0,PPMT(EarningsRate,1,Components!$K56,0,-Components!AD56*((1+InflationRate)^Components!$K56),0),AB56)</f>
        <v>4179.4991660479927</v>
      </c>
      <c r="AD56" s="11">
        <f>IF(Components!AE56&gt;0,PPMT(EarningsRate,1,Components!$K56,0,-Components!AE56*((1+InflationRate)^Components!$K56),0),AC56)</f>
        <v>4179.4991660479927</v>
      </c>
      <c r="AE56" s="11">
        <f>IF(Components!AF56&gt;0,PPMT(EarningsRate,1,Components!$K56,0,-Components!AF56*((1+InflationRate)^Components!$K56),0),AD56)</f>
        <v>4179.4991660479927</v>
      </c>
      <c r="AF56" s="11">
        <f>IF(Components!AG56&gt;0,PPMT(EarningsRate,1,Components!$K56,0,-Components!AG56*((1+InflationRate)^Components!$K56),0),AE56)</f>
        <v>4179.4991660479927</v>
      </c>
      <c r="AG56" s="11">
        <f>IF(Components!AH56&gt;0,PPMT(EarningsRate,1,Components!$K56,0,-Components!AH56*((1+InflationRate)^Components!$K56),0),AF56)</f>
        <v>4179.4991660479927</v>
      </c>
      <c r="AH56" s="11">
        <f>IF(Components!AI56&gt;0,PPMT(EarningsRate,1,Components!$K56,0,-Components!AI56*((1+InflationRate)^Components!$K56),0),AG56)</f>
        <v>7002.0917796945341</v>
      </c>
      <c r="AI56" s="11">
        <f>IF(Components!AJ56&gt;0,PPMT(EarningsRate,1,Components!$K56,0,-Components!AJ56*((1+InflationRate)^Components!$K56),0),AH56)</f>
        <v>7002.0917796945341</v>
      </c>
      <c r="AJ56" s="11">
        <f>IF(Components!AK56&gt;0,PPMT(EarningsRate,1,Components!$K56,0,-Components!AK56*((1+InflationRate)^Components!$K56),0),AI56)</f>
        <v>7002.0917796945341</v>
      </c>
      <c r="AK56" s="11">
        <f>IF(Components!AL56&gt;0,PPMT(EarningsRate,1,Components!$K56,0,-Components!AL56*((1+InflationRate)^Components!$K56),0),AJ56)</f>
        <v>7002.0917796945341</v>
      </c>
      <c r="AL56" s="11">
        <f>IF(Components!AM56&gt;0,PPMT(EarningsRate,1,Components!$K56,0,-Components!AM56*((1+InflationRate)^Components!$K56),0),AK56)</f>
        <v>7002.0917796945341</v>
      </c>
      <c r="AM56" s="11">
        <f>IF(Components!AN56&gt;0,PPMT(EarningsRate,1,Components!$K56,0,-Components!AN56*((1+InflationRate)^Components!$K56),0),AL56)</f>
        <v>7002.0917796945341</v>
      </c>
      <c r="AN56" s="11">
        <f>IF(Components!AO56&gt;0,PPMT(EarningsRate,1,Components!$K56,0,-Components!AO56*((1+InflationRate)^Components!$K56),0),AM56)</f>
        <v>7002.0917796945341</v>
      </c>
      <c r="AO56" s="11">
        <f>IF(Components!AP56&gt;0,PPMT(EarningsRate,1,Components!$K56,0,-Components!AP56*((1+InflationRate)^Components!$K56),0),AN56)</f>
        <v>7002.0917796945341</v>
      </c>
      <c r="AP56" s="214"/>
      <c r="AQ56" s="11">
        <f t="shared" si="1"/>
        <v>138666.85257039007</v>
      </c>
    </row>
    <row r="57" spans="1:43" s="1" customFormat="1">
      <c r="A57" s="220" t="str">
        <f>Components!B57</f>
        <v>Clubhouse Equip</v>
      </c>
      <c r="B57" s="220" t="str">
        <f>Components!C57</f>
        <v>Lockers</v>
      </c>
      <c r="C57" s="211"/>
      <c r="D57" s="211"/>
      <c r="E57" s="211"/>
      <c r="F57" s="88"/>
      <c r="G57" s="212"/>
      <c r="H57" s="212"/>
      <c r="I57" s="212"/>
      <c r="J57" s="211"/>
      <c r="K57" s="11">
        <f>IF('FF Balance'!H57&gt;=0,PPMT(EarningsRate,1,Components!K57,0,-'FF Balance'!G57,0),0)</f>
        <v>1734.9544317610903</v>
      </c>
      <c r="L57" s="11">
        <f>IF(Components!M57&gt;0,PPMT(EarningsRate,1,Components!$K57,0,-Components!M57*((1+InflationRate)^Components!$K57),0),K57)</f>
        <v>1734.9544317610903</v>
      </c>
      <c r="M57" s="11">
        <f>IF(Components!N57&gt;0,PPMT(EarningsRate,1,Components!$K57,0,-Components!N57*((1+InflationRate)^Components!$K57),0),L57)</f>
        <v>1734.9544317610903</v>
      </c>
      <c r="N57" s="11">
        <f>IF(Components!O57&gt;0,PPMT(EarningsRate,1,Components!$K57,0,-Components!O57*((1+InflationRate)^Components!$K57),0),M57)</f>
        <v>1734.9544317610903</v>
      </c>
      <c r="O57" s="11">
        <f>IF(Components!P57&gt;0,PPMT(EarningsRate,1,Components!$K57,0,-Components!P57*((1+InflationRate)^Components!$K57),0),N57)</f>
        <v>1734.9544317610903</v>
      </c>
      <c r="P57" s="11">
        <f>IF(Components!Q57&gt;0,PPMT(EarningsRate,1,Components!$K57,0,-Components!Q57*((1+InflationRate)^Components!$K57),0),O57)</f>
        <v>1734.9544317610903</v>
      </c>
      <c r="Q57" s="11">
        <f>IF(Components!R57&gt;0,PPMT(EarningsRate,1,Components!$K57,0,-Components!R57*((1+InflationRate)^Components!$K57),0),P57)</f>
        <v>1734.9544317610903</v>
      </c>
      <c r="R57" s="11">
        <f>IF(Components!S57&gt;0,PPMT(EarningsRate,1,Components!$K57,0,-Components!S57*((1+InflationRate)^Components!$K57),0),Q57)</f>
        <v>1734.9544317610903</v>
      </c>
      <c r="S57" s="11">
        <f>IF(Components!T57&gt;0,PPMT(EarningsRate,1,Components!$K57,0,-Components!T57*((1+InflationRate)^Components!$K57),0),R57)</f>
        <v>2906.65387865922</v>
      </c>
      <c r="T57" s="11">
        <f>IF(Components!U57&gt;0,PPMT(EarningsRate,1,Components!$K57,0,-Components!U57*((1+InflationRate)^Components!$K57),0),S57)</f>
        <v>2906.65387865922</v>
      </c>
      <c r="U57" s="11">
        <f>IF(Components!V57&gt;0,PPMT(EarningsRate,1,Components!$K57,0,-Components!V57*((1+InflationRate)^Components!$K57),0),T57)</f>
        <v>2906.65387865922</v>
      </c>
      <c r="V57" s="11">
        <f>IF(Components!W57&gt;0,PPMT(EarningsRate,1,Components!$K57,0,-Components!W57*((1+InflationRate)^Components!$K57),0),U57)</f>
        <v>2906.65387865922</v>
      </c>
      <c r="W57" s="11">
        <f>IF(Components!X57&gt;0,PPMT(EarningsRate,1,Components!$K57,0,-Components!X57*((1+InflationRate)^Components!$K57),0),V57)</f>
        <v>2906.65387865922</v>
      </c>
      <c r="X57" s="11">
        <f>IF(Components!Y57&gt;0,PPMT(EarningsRate,1,Components!$K57,0,-Components!Y57*((1+InflationRate)^Components!$K57),0),W57)</f>
        <v>2906.65387865922</v>
      </c>
      <c r="Y57" s="11">
        <f>IF(Components!Z57&gt;0,PPMT(EarningsRate,1,Components!$K57,0,-Components!Z57*((1+InflationRate)^Components!$K57),0),X57)</f>
        <v>2906.65387865922</v>
      </c>
      <c r="Z57" s="11">
        <f>IF(Components!AA57&gt;0,PPMT(EarningsRate,1,Components!$K57,0,-Components!AA57*((1+InflationRate)^Components!$K57),0),Y57)</f>
        <v>2906.65387865922</v>
      </c>
      <c r="AA57" s="11">
        <f>IF(Components!AB57&gt;0,PPMT(EarningsRate,1,Components!$K57,0,-Components!AB57*((1+InflationRate)^Components!$K57),0),Z57)</f>
        <v>2906.65387865922</v>
      </c>
      <c r="AB57" s="11">
        <f>IF(Components!AC57&gt;0,PPMT(EarningsRate,1,Components!$K57,0,-Components!AC57*((1+InflationRate)^Components!$K57),0),AA57)</f>
        <v>2906.65387865922</v>
      </c>
      <c r="AC57" s="11">
        <f>IF(Components!AD57&gt;0,PPMT(EarningsRate,1,Components!$K57,0,-Components!AD57*((1+InflationRate)^Components!$K57),0),AB57)</f>
        <v>2906.65387865922</v>
      </c>
      <c r="AD57" s="11">
        <f>IF(Components!AE57&gt;0,PPMT(EarningsRate,1,Components!$K57,0,-Components!AE57*((1+InflationRate)^Components!$K57),0),AC57)</f>
        <v>2906.65387865922</v>
      </c>
      <c r="AE57" s="11">
        <f>IF(Components!AF57&gt;0,PPMT(EarningsRate,1,Components!$K57,0,-Components!AF57*((1+InflationRate)^Components!$K57),0),AD57)</f>
        <v>2906.65387865922</v>
      </c>
      <c r="AF57" s="11">
        <f>IF(Components!AG57&gt;0,PPMT(EarningsRate,1,Components!$K57,0,-Components!AG57*((1+InflationRate)^Components!$K57),0),AE57)</f>
        <v>2906.65387865922</v>
      </c>
      <c r="AG57" s="11">
        <f>IF(Components!AH57&gt;0,PPMT(EarningsRate,1,Components!$K57,0,-Components!AH57*((1+InflationRate)^Components!$K57),0),AF57)</f>
        <v>2906.65387865922</v>
      </c>
      <c r="AH57" s="11">
        <f>IF(Components!AI57&gt;0,PPMT(EarningsRate,1,Components!$K57,0,-Components!AI57*((1+InflationRate)^Components!$K57),0),AG57)</f>
        <v>4869.6863945731429</v>
      </c>
      <c r="AI57" s="11">
        <f>IF(Components!AJ57&gt;0,PPMT(EarningsRate,1,Components!$K57,0,-Components!AJ57*((1+InflationRate)^Components!$K57),0),AH57)</f>
        <v>4869.6863945731429</v>
      </c>
      <c r="AJ57" s="11">
        <f>IF(Components!AK57&gt;0,PPMT(EarningsRate,1,Components!$K57,0,-Components!AK57*((1+InflationRate)^Components!$K57),0),AI57)</f>
        <v>4869.6863945731429</v>
      </c>
      <c r="AK57" s="11">
        <f>IF(Components!AL57&gt;0,PPMT(EarningsRate,1,Components!$K57,0,-Components!AL57*((1+InflationRate)^Components!$K57),0),AJ57)</f>
        <v>4869.6863945731429</v>
      </c>
      <c r="AL57" s="11">
        <f>IF(Components!AM57&gt;0,PPMT(EarningsRate,1,Components!$K57,0,-Components!AM57*((1+InflationRate)^Components!$K57),0),AK57)</f>
        <v>4869.6863945731429</v>
      </c>
      <c r="AM57" s="11">
        <f>IF(Components!AN57&gt;0,PPMT(EarningsRate,1,Components!$K57,0,-Components!AN57*((1+InflationRate)^Components!$K57),0),AL57)</f>
        <v>4869.6863945731429</v>
      </c>
      <c r="AN57" s="11">
        <f>IF(Components!AO57&gt;0,PPMT(EarningsRate,1,Components!$K57,0,-Components!AO57*((1+InflationRate)^Components!$K57),0),AM57)</f>
        <v>4869.6863945731429</v>
      </c>
      <c r="AO57" s="11">
        <f>IF(Components!AP57&gt;0,PPMT(EarningsRate,1,Components!$K57,0,-Components!AP57*((1+InflationRate)^Components!$K57),0),AN57)</f>
        <v>4869.6863945731429</v>
      </c>
      <c r="AP57" s="214"/>
      <c r="AQ57" s="11">
        <f t="shared" si="1"/>
        <v>96436.934890562203</v>
      </c>
    </row>
    <row r="58" spans="1:43" s="1" customFormat="1">
      <c r="A58" s="220" t="str">
        <f>Components!B58</f>
        <v>Clubhouse Equip</v>
      </c>
      <c r="B58" s="220" t="str">
        <f>Components!C58</f>
        <v>Piano - Auditorium</v>
      </c>
      <c r="C58" s="211"/>
      <c r="D58" s="211"/>
      <c r="E58" s="211"/>
      <c r="F58" s="88"/>
      <c r="G58" s="212"/>
      <c r="H58" s="212"/>
      <c r="I58" s="212"/>
      <c r="J58" s="211"/>
      <c r="K58" s="11">
        <f>IF('FF Balance'!H58&gt;=0,PPMT(EarningsRate,1,Components!K58,0,-'FF Balance'!G58,0),0)</f>
        <v>1511.9208169207136</v>
      </c>
      <c r="L58" s="11">
        <f>IF(Components!M58&gt;0,PPMT(EarningsRate,1,Components!$K58,0,-Components!M58*((1+InflationRate)^Components!$K58),0),K58)</f>
        <v>1511.9208169207136</v>
      </c>
      <c r="M58" s="11">
        <f>IF(Components!N58&gt;0,PPMT(EarningsRate,1,Components!$K58,0,-Components!N58*((1+InflationRate)^Components!$K58),0),L58)</f>
        <v>1511.9208169207136</v>
      </c>
      <c r="N58" s="11">
        <f>IF(Components!O58&gt;0,PPMT(EarningsRate,1,Components!$K58,0,-Components!O58*((1+InflationRate)^Components!$K58),0),M58)</f>
        <v>2132.713630505632</v>
      </c>
      <c r="O58" s="11">
        <f>IF(Components!P58&gt;0,PPMT(EarningsRate,1,Components!$K58,0,-Components!P58*((1+InflationRate)^Components!$K58),0),N58)</f>
        <v>2132.713630505632</v>
      </c>
      <c r="P58" s="11">
        <f>IF(Components!Q58&gt;0,PPMT(EarningsRate,1,Components!$K58,0,-Components!Q58*((1+InflationRate)^Components!$K58),0),O58)</f>
        <v>2132.713630505632</v>
      </c>
      <c r="Q58" s="11">
        <f>IF(Components!R58&gt;0,PPMT(EarningsRate,1,Components!$K58,0,-Components!R58*((1+InflationRate)^Components!$K58),0),P58)</f>
        <v>2132.713630505632</v>
      </c>
      <c r="R58" s="11">
        <f>IF(Components!S58&gt;0,PPMT(EarningsRate,1,Components!$K58,0,-Components!S58*((1+InflationRate)^Components!$K58),0),Q58)</f>
        <v>2132.713630505632</v>
      </c>
      <c r="S58" s="11">
        <f>IF(Components!T58&gt;0,PPMT(EarningsRate,1,Components!$K58,0,-Components!T58*((1+InflationRate)^Components!$K58),0),R58)</f>
        <v>2132.713630505632</v>
      </c>
      <c r="T58" s="11">
        <f>IF(Components!U58&gt;0,PPMT(EarningsRate,1,Components!$K58,0,-Components!U58*((1+InflationRate)^Components!$K58),0),S58)</f>
        <v>2132.713630505632</v>
      </c>
      <c r="U58" s="11">
        <f>IF(Components!V58&gt;0,PPMT(EarningsRate,1,Components!$K58,0,-Components!V58*((1+InflationRate)^Components!$K58),0),T58)</f>
        <v>2132.713630505632</v>
      </c>
      <c r="V58" s="11">
        <f>IF(Components!W58&gt;0,PPMT(EarningsRate,1,Components!$K58,0,-Components!W58*((1+InflationRate)^Components!$K58),0),U58)</f>
        <v>2132.713630505632</v>
      </c>
      <c r="W58" s="11">
        <f>IF(Components!X58&gt;0,PPMT(EarningsRate,1,Components!$K58,0,-Components!X58*((1+InflationRate)^Components!$K58),0),V58)</f>
        <v>2132.713630505632</v>
      </c>
      <c r="X58" s="11">
        <f>IF(Components!Y58&gt;0,PPMT(EarningsRate,1,Components!$K58,0,-Components!Y58*((1+InflationRate)^Components!$K58),0),W58)</f>
        <v>3008.3175430239685</v>
      </c>
      <c r="Y58" s="11">
        <f>IF(Components!Z58&gt;0,PPMT(EarningsRate,1,Components!$K58,0,-Components!Z58*((1+InflationRate)^Components!$K58),0),X58)</f>
        <v>3008.3175430239685</v>
      </c>
      <c r="Z58" s="11">
        <f>IF(Components!AA58&gt;0,PPMT(EarningsRate,1,Components!$K58,0,-Components!AA58*((1+InflationRate)^Components!$K58),0),Y58)</f>
        <v>3008.3175430239685</v>
      </c>
      <c r="AA58" s="11">
        <f>IF(Components!AB58&gt;0,PPMT(EarningsRate,1,Components!$K58,0,-Components!AB58*((1+InflationRate)^Components!$K58),0),Z58)</f>
        <v>3008.3175430239685</v>
      </c>
      <c r="AB58" s="11">
        <f>IF(Components!AC58&gt;0,PPMT(EarningsRate,1,Components!$K58,0,-Components!AC58*((1+InflationRate)^Components!$K58),0),AA58)</f>
        <v>3008.3175430239685</v>
      </c>
      <c r="AC58" s="11">
        <f>IF(Components!AD58&gt;0,PPMT(EarningsRate,1,Components!$K58,0,-Components!AD58*((1+InflationRate)^Components!$K58),0),AB58)</f>
        <v>3008.3175430239685</v>
      </c>
      <c r="AD58" s="11">
        <f>IF(Components!AE58&gt;0,PPMT(EarningsRate,1,Components!$K58,0,-Components!AE58*((1+InflationRate)^Components!$K58),0),AC58)</f>
        <v>3008.3175430239685</v>
      </c>
      <c r="AE58" s="11">
        <f>IF(Components!AF58&gt;0,PPMT(EarningsRate,1,Components!$K58,0,-Components!AF58*((1+InflationRate)^Components!$K58),0),AD58)</f>
        <v>3008.3175430239685</v>
      </c>
      <c r="AF58" s="11">
        <f>IF(Components!AG58&gt;0,PPMT(EarningsRate,1,Components!$K58,0,-Components!AG58*((1+InflationRate)^Components!$K58),0),AE58)</f>
        <v>3008.3175430239685</v>
      </c>
      <c r="AG58" s="11">
        <f>IF(Components!AH58&gt;0,PPMT(EarningsRate,1,Components!$K58,0,-Components!AH58*((1+InflationRate)^Components!$K58),0),AF58)</f>
        <v>3008.3175430239685</v>
      </c>
      <c r="AH58" s="11">
        <f>IF(Components!AI58&gt;0,PPMT(EarningsRate,1,Components!$K58,0,-Components!AI58*((1+InflationRate)^Components!$K58),0),AG58)</f>
        <v>4243.62692927018</v>
      </c>
      <c r="AI58" s="11">
        <f>IF(Components!AJ58&gt;0,PPMT(EarningsRate,1,Components!$K58,0,-Components!AJ58*((1+InflationRate)^Components!$K58),0),AH58)</f>
        <v>4243.62692927018</v>
      </c>
      <c r="AJ58" s="11">
        <f>IF(Components!AK58&gt;0,PPMT(EarningsRate,1,Components!$K58,0,-Components!AK58*((1+InflationRate)^Components!$K58),0),AI58)</f>
        <v>4243.62692927018</v>
      </c>
      <c r="AK58" s="11">
        <f>IF(Components!AL58&gt;0,PPMT(EarningsRate,1,Components!$K58,0,-Components!AL58*((1+InflationRate)^Components!$K58),0),AJ58)</f>
        <v>4243.62692927018</v>
      </c>
      <c r="AL58" s="11">
        <f>IF(Components!AM58&gt;0,PPMT(EarningsRate,1,Components!$K58,0,-Components!AM58*((1+InflationRate)^Components!$K58),0),AK58)</f>
        <v>4243.62692927018</v>
      </c>
      <c r="AM58" s="11">
        <f>IF(Components!AN58&gt;0,PPMT(EarningsRate,1,Components!$K58,0,-Components!AN58*((1+InflationRate)^Components!$K58),0),AL58)</f>
        <v>4243.62692927018</v>
      </c>
      <c r="AN58" s="11">
        <f>IF(Components!AO58&gt;0,PPMT(EarningsRate,1,Components!$K58,0,-Components!AO58*((1+InflationRate)^Components!$K58),0),AM58)</f>
        <v>4243.62692927018</v>
      </c>
      <c r="AO58" s="11">
        <f>IF(Components!AP58&gt;0,PPMT(EarningsRate,1,Components!$K58,0,-Components!AP58*((1+InflationRate)^Components!$K58),0),AN58)</f>
        <v>4243.62692927018</v>
      </c>
      <c r="AP58" s="214"/>
      <c r="AQ58" s="11">
        <f t="shared" si="1"/>
        <v>89895.089720219592</v>
      </c>
    </row>
    <row r="59" spans="1:43" s="1" customFormat="1">
      <c r="A59" s="220" t="str">
        <f>Components!B59</f>
        <v>Clubhouse Equip</v>
      </c>
      <c r="B59" s="220" t="str">
        <f>Components!C59</f>
        <v>Clubhouse Office Upgrade</v>
      </c>
      <c r="C59" s="211"/>
      <c r="D59" s="211"/>
      <c r="E59" s="211"/>
      <c r="F59" s="88"/>
      <c r="G59" s="212"/>
      <c r="H59" s="212"/>
      <c r="I59" s="212"/>
      <c r="J59" s="211"/>
      <c r="K59" s="11">
        <f>IF('FF Balance'!H59&gt;=0,PPMT(EarningsRate,1,Components!K59,0,-'FF Balance'!G59,0),0)</f>
        <v>1108.1645698963434</v>
      </c>
      <c r="L59" s="11">
        <f>IF(Components!M59&gt;0,PPMT(EarningsRate,1,Components!$K59,0,-Components!M59*((1+InflationRate)^Components!$K59),0),K59)</f>
        <v>1108.1645698963434</v>
      </c>
      <c r="M59" s="11">
        <f>IF(Components!N59&gt;0,PPMT(EarningsRate,1,Components!$K59,0,-Components!N59*((1+InflationRate)^Components!$K59),0),L59)</f>
        <v>1108.1645698963434</v>
      </c>
      <c r="N59" s="11">
        <f>IF(Components!O59&gt;0,PPMT(EarningsRate,1,Components!$K59,0,-Components!O59*((1+InflationRate)^Components!$K59),0),M59)</f>
        <v>1108.1645698963434</v>
      </c>
      <c r="O59" s="11">
        <f>IF(Components!P59&gt;0,PPMT(EarningsRate,1,Components!$K59,0,-Components!P59*((1+InflationRate)^Components!$K59),0),N59)</f>
        <v>1108.1645698963434</v>
      </c>
      <c r="P59" s="11">
        <f>IF(Components!Q59&gt;0,PPMT(EarningsRate,1,Components!$K59,0,-Components!Q59*((1+InflationRate)^Components!$K59),0),O59)</f>
        <v>1108.1645698963434</v>
      </c>
      <c r="Q59" s="11">
        <f>IF(Components!R59&gt;0,PPMT(EarningsRate,1,Components!$K59,0,-Components!R59*((1+InflationRate)^Components!$K59),0),P59)</f>
        <v>1108.1645698963434</v>
      </c>
      <c r="R59" s="11">
        <f>IF(Components!S59&gt;0,PPMT(EarningsRate,1,Components!$K59,0,-Components!S59*((1+InflationRate)^Components!$K59),0),Q59)</f>
        <v>1108.1645698963434</v>
      </c>
      <c r="S59" s="11">
        <f>IF(Components!T59&gt;0,PPMT(EarningsRate,1,Components!$K59,0,-Components!T59*((1+InflationRate)^Components!$K59),0),R59)</f>
        <v>1108.1645698963434</v>
      </c>
      <c r="T59" s="11">
        <f>IF(Components!U59&gt;0,PPMT(EarningsRate,1,Components!$K59,0,-Components!U59*((1+InflationRate)^Components!$K59),0),S59)</f>
        <v>1108.1645698963434</v>
      </c>
      <c r="U59" s="11">
        <f>IF(Components!V59&gt;0,PPMT(EarningsRate,1,Components!$K59,0,-Components!V59*((1+InflationRate)^Components!$K59),0),T59)</f>
        <v>1108.1645698963434</v>
      </c>
      <c r="V59" s="11">
        <f>IF(Components!W59&gt;0,PPMT(EarningsRate,1,Components!$K59,0,-Components!W59*((1+InflationRate)^Components!$K59),0),U59)</f>
        <v>1108.1645698963434</v>
      </c>
      <c r="W59" s="11">
        <f>IF(Components!X59&gt;0,PPMT(EarningsRate,1,Components!$K59,0,-Components!X59*((1+InflationRate)^Components!$K59),0),V59)</f>
        <v>1108.1645698963434</v>
      </c>
      <c r="X59" s="11">
        <f>IF(Components!Y59&gt;0,PPMT(EarningsRate,1,Components!$K59,0,-Components!Y59*((1+InflationRate)^Components!$K59),0),W59)</f>
        <v>1108.1645698963434</v>
      </c>
      <c r="Y59" s="11">
        <f>IF(Components!Z59&gt;0,PPMT(EarningsRate,1,Components!$K59,0,-Components!Z59*((1+InflationRate)^Components!$K59),0),X59)</f>
        <v>1108.1645698963434</v>
      </c>
      <c r="Z59" s="11">
        <f>IF(Components!AA59&gt;0,PPMT(EarningsRate,1,Components!$K59,0,-Components!AA59*((1+InflationRate)^Components!$K59),0),Y59)</f>
        <v>1108.1645698963434</v>
      </c>
      <c r="AA59" s="11">
        <f>IF(Components!AB59&gt;0,PPMT(EarningsRate,1,Components!$K59,0,-Components!AB59*((1+InflationRate)^Components!$K59),0),Z59)</f>
        <v>1108.1645698963434</v>
      </c>
      <c r="AB59" s="11">
        <f>IF(Components!AC59&gt;0,PPMT(EarningsRate,1,Components!$K59,0,-Components!AC59*((1+InflationRate)^Components!$K59),0),AA59)</f>
        <v>1108.1645698963434</v>
      </c>
      <c r="AC59" s="11">
        <f>IF(Components!AD59&gt;0,PPMT(EarningsRate,1,Components!$K59,0,-Components!AD59*((1+InflationRate)^Components!$K59),0),AB59)</f>
        <v>1108.1645698963434</v>
      </c>
      <c r="AD59" s="11">
        <f>IF(Components!AE59&gt;0,PPMT(EarningsRate,1,Components!$K59,0,-Components!AE59*((1+InflationRate)^Components!$K59),0),AC59)</f>
        <v>1108.1645698963434</v>
      </c>
      <c r="AE59" s="11">
        <f>IF(Components!AF59&gt;0,PPMT(EarningsRate,1,Components!$K59,0,-Components!AF59*((1+InflationRate)^Components!$K59),0),AD59)</f>
        <v>1108.1645698963434</v>
      </c>
      <c r="AF59" s="11">
        <f>IF(Components!AG59&gt;0,PPMT(EarningsRate,1,Components!$K59,0,-Components!AG59*((1+InflationRate)^Components!$K59),0),AE59)</f>
        <v>1108.1645698963434</v>
      </c>
      <c r="AG59" s="11">
        <f>IF(Components!AH59&gt;0,PPMT(EarningsRate,1,Components!$K59,0,-Components!AH59*((1+InflationRate)^Components!$K59),0),AF59)</f>
        <v>1108.1645698963434</v>
      </c>
      <c r="AH59" s="11">
        <f>IF(Components!AI59&gt;0,PPMT(EarningsRate,1,Components!$K59,0,-Components!AI59*((1+InflationRate)^Components!$K59),0),AG59)</f>
        <v>3110.3893385595516</v>
      </c>
      <c r="AI59" s="11">
        <f>IF(Components!AJ59&gt;0,PPMT(EarningsRate,1,Components!$K59,0,-Components!AJ59*((1+InflationRate)^Components!$K59),0),AH59)</f>
        <v>3110.3893385595516</v>
      </c>
      <c r="AJ59" s="11">
        <f>IF(Components!AK59&gt;0,PPMT(EarningsRate,1,Components!$K59,0,-Components!AK59*((1+InflationRate)^Components!$K59),0),AI59)</f>
        <v>3110.3893385595516</v>
      </c>
      <c r="AK59" s="11">
        <f>IF(Components!AL59&gt;0,PPMT(EarningsRate,1,Components!$K59,0,-Components!AL59*((1+InflationRate)^Components!$K59),0),AJ59)</f>
        <v>3110.3893385595516</v>
      </c>
      <c r="AL59" s="11">
        <f>IF(Components!AM59&gt;0,PPMT(EarningsRate,1,Components!$K59,0,-Components!AM59*((1+InflationRate)^Components!$K59),0),AK59)</f>
        <v>3110.3893385595516</v>
      </c>
      <c r="AM59" s="11">
        <f>IF(Components!AN59&gt;0,PPMT(EarningsRate,1,Components!$K59,0,-Components!AN59*((1+InflationRate)^Components!$K59),0),AL59)</f>
        <v>3110.3893385595516</v>
      </c>
      <c r="AN59" s="11">
        <f>IF(Components!AO59&gt;0,PPMT(EarningsRate,1,Components!$K59,0,-Components!AO59*((1+InflationRate)^Components!$K59),0),AM59)</f>
        <v>3110.3893385595516</v>
      </c>
      <c r="AO59" s="11">
        <f>IF(Components!AP59&gt;0,PPMT(EarningsRate,1,Components!$K59,0,-Components!AP59*((1+InflationRate)^Components!$K59),0),AN59)</f>
        <v>3110.3893385595516</v>
      </c>
      <c r="AP59" s="214"/>
      <c r="AQ59" s="11">
        <f t="shared" si="1"/>
        <v>50370.899916092312</v>
      </c>
    </row>
    <row r="60" spans="1:43" s="1" customFormat="1">
      <c r="A60" s="220" t="str">
        <f>Components!B60</f>
        <v>Clubhouse Equip</v>
      </c>
      <c r="B60" s="220" t="str">
        <f>Components!C60</f>
        <v>Sauna, Men's, replace</v>
      </c>
      <c r="C60" s="211"/>
      <c r="D60" s="211"/>
      <c r="E60" s="211"/>
      <c r="F60" s="88"/>
      <c r="G60" s="212"/>
      <c r="H60" s="212"/>
      <c r="I60" s="212"/>
      <c r="J60" s="211"/>
      <c r="K60" s="11">
        <f>IF('FF Balance'!H60&gt;=0,PPMT(EarningsRate,1,Components!K60,0,-'FF Balance'!G60,0),0)</f>
        <v>495.78681125404535</v>
      </c>
      <c r="L60" s="11">
        <f>IF(Components!M60&gt;0,PPMT(EarningsRate,1,Components!$K60,0,-Components!M60*((1+InflationRate)^Components!$K60),0),K60)</f>
        <v>495.78681125404535</v>
      </c>
      <c r="M60" s="11">
        <f>IF(Components!N60&gt;0,PPMT(EarningsRate,1,Components!$K60,0,-Components!N60*((1+InflationRate)^Components!$K60),0),L60)</f>
        <v>495.78681125404535</v>
      </c>
      <c r="N60" s="11">
        <f>IF(Components!O60&gt;0,PPMT(EarningsRate,1,Components!$K60,0,-Components!O60*((1+InflationRate)^Components!$K60),0),M60)</f>
        <v>495.78681125404535</v>
      </c>
      <c r="O60" s="11">
        <f>IF(Components!P60&gt;0,PPMT(EarningsRate,1,Components!$K60,0,-Components!P60*((1+InflationRate)^Components!$K60),0),N60)</f>
        <v>495.78681125404535</v>
      </c>
      <c r="P60" s="11">
        <f>IF(Components!Q60&gt;0,PPMT(EarningsRate,1,Components!$K60,0,-Components!Q60*((1+InflationRate)^Components!$K60),0),O60)</f>
        <v>495.78681125404535</v>
      </c>
      <c r="Q60" s="11">
        <f>IF(Components!R60&gt;0,PPMT(EarningsRate,1,Components!$K60,0,-Components!R60*((1+InflationRate)^Components!$K60),0),P60)</f>
        <v>495.78681125404535</v>
      </c>
      <c r="R60" s="11">
        <f>IF(Components!S60&gt;0,PPMT(EarningsRate,1,Components!$K60,0,-Components!S60*((1+InflationRate)^Components!$K60),0),Q60)</f>
        <v>495.78681125404535</v>
      </c>
      <c r="S60" s="11">
        <f>IF(Components!T60&gt;0,PPMT(EarningsRate,1,Components!$K60,0,-Components!T60*((1+InflationRate)^Components!$K60),0),R60)</f>
        <v>495.78681125404535</v>
      </c>
      <c r="T60" s="11">
        <f>IF(Components!U60&gt;0,PPMT(EarningsRate,1,Components!$K60,0,-Components!U60*((1+InflationRate)^Components!$K60),0),S60)</f>
        <v>495.78681125404535</v>
      </c>
      <c r="U60" s="11">
        <f>IF(Components!V60&gt;0,PPMT(EarningsRate,1,Components!$K60,0,-Components!V60*((1+InflationRate)^Components!$K60),0),T60)</f>
        <v>495.78681125404535</v>
      </c>
      <c r="V60" s="11">
        <f>IF(Components!W60&gt;0,PPMT(EarningsRate,1,Components!$K60,0,-Components!W60*((1+InflationRate)^Components!$K60),0),U60)</f>
        <v>495.78681125404535</v>
      </c>
      <c r="W60" s="11">
        <f>IF(Components!X60&gt;0,PPMT(EarningsRate,1,Components!$K60,0,-Components!X60*((1+InflationRate)^Components!$K60),0),V60)</f>
        <v>495.78681125404535</v>
      </c>
      <c r="X60" s="11">
        <f>IF(Components!Y60&gt;0,PPMT(EarningsRate,1,Components!$K60,0,-Components!Y60*((1+InflationRate)^Components!$K60),0),W60)</f>
        <v>986.51107568654129</v>
      </c>
      <c r="Y60" s="11">
        <f>IF(Components!Z60&gt;0,PPMT(EarningsRate,1,Components!$K60,0,-Components!Z60*((1+InflationRate)^Components!$K60),0),X60)</f>
        <v>986.51107568654129</v>
      </c>
      <c r="Z60" s="11">
        <f>IF(Components!AA60&gt;0,PPMT(EarningsRate,1,Components!$K60,0,-Components!AA60*((1+InflationRate)^Components!$K60),0),Y60)</f>
        <v>986.51107568654129</v>
      </c>
      <c r="AA60" s="11">
        <f>IF(Components!AB60&gt;0,PPMT(EarningsRate,1,Components!$K60,0,-Components!AB60*((1+InflationRate)^Components!$K60),0),Z60)</f>
        <v>986.51107568654129</v>
      </c>
      <c r="AB60" s="11">
        <f>IF(Components!AC60&gt;0,PPMT(EarningsRate,1,Components!$K60,0,-Components!AC60*((1+InflationRate)^Components!$K60),0),AA60)</f>
        <v>986.51107568654129</v>
      </c>
      <c r="AC60" s="11">
        <f>IF(Components!AD60&gt;0,PPMT(EarningsRate,1,Components!$K60,0,-Components!AD60*((1+InflationRate)^Components!$K60),0),AB60)</f>
        <v>986.51107568654129</v>
      </c>
      <c r="AD60" s="11">
        <f>IF(Components!AE60&gt;0,PPMT(EarningsRate,1,Components!$K60,0,-Components!AE60*((1+InflationRate)^Components!$K60),0),AC60)</f>
        <v>986.51107568654129</v>
      </c>
      <c r="AE60" s="11">
        <f>IF(Components!AF60&gt;0,PPMT(EarningsRate,1,Components!$K60,0,-Components!AF60*((1+InflationRate)^Components!$K60),0),AD60)</f>
        <v>986.51107568654129</v>
      </c>
      <c r="AF60" s="11">
        <f>IF(Components!AG60&gt;0,PPMT(EarningsRate,1,Components!$K60,0,-Components!AG60*((1+InflationRate)^Components!$K60),0),AE60)</f>
        <v>986.51107568654129</v>
      </c>
      <c r="AG60" s="11">
        <f>IF(Components!AH60&gt;0,PPMT(EarningsRate,1,Components!$K60,0,-Components!AH60*((1+InflationRate)^Components!$K60),0),AF60)</f>
        <v>986.51107568654129</v>
      </c>
      <c r="AH60" s="11">
        <f>IF(Components!AI60&gt;0,PPMT(EarningsRate,1,Components!$K60,0,-Components!AI60*((1+InflationRate)^Components!$K60),0),AG60)</f>
        <v>986.51107568654129</v>
      </c>
      <c r="AI60" s="11">
        <f>IF(Components!AJ60&gt;0,PPMT(EarningsRate,1,Components!$K60,0,-Components!AJ60*((1+InflationRate)^Components!$K60),0),AH60)</f>
        <v>986.51107568654129</v>
      </c>
      <c r="AJ60" s="11">
        <f>IF(Components!AK60&gt;0,PPMT(EarningsRate,1,Components!$K60,0,-Components!AK60*((1+InflationRate)^Components!$K60),0),AI60)</f>
        <v>986.51107568654129</v>
      </c>
      <c r="AK60" s="11">
        <f>IF(Components!AL60&gt;0,PPMT(EarningsRate,1,Components!$K60,0,-Components!AL60*((1+InflationRate)^Components!$K60),0),AJ60)</f>
        <v>986.51107568654129</v>
      </c>
      <c r="AL60" s="11">
        <f>IF(Components!AM60&gt;0,PPMT(EarningsRate,1,Components!$K60,0,-Components!AM60*((1+InflationRate)^Components!$K60),0),AK60)</f>
        <v>986.51107568654129</v>
      </c>
      <c r="AM60" s="11">
        <f>IF(Components!AN60&gt;0,PPMT(EarningsRate,1,Components!$K60,0,-Components!AN60*((1+InflationRate)^Components!$K60),0),AL60)</f>
        <v>986.51107568654129</v>
      </c>
      <c r="AN60" s="11">
        <f>IF(Components!AO60&gt;0,PPMT(EarningsRate,1,Components!$K60,0,-Components!AO60*((1+InflationRate)^Components!$K60),0),AM60)</f>
        <v>986.51107568654129</v>
      </c>
      <c r="AO60" s="11">
        <f>IF(Components!AP60&gt;0,PPMT(EarningsRate,1,Components!$K60,0,-Components!AP60*((1+InflationRate)^Components!$K60),0),AN60)</f>
        <v>986.51107568654129</v>
      </c>
      <c r="AP60" s="214"/>
      <c r="AQ60" s="11">
        <f t="shared" si="1"/>
        <v>24202.428008660325</v>
      </c>
    </row>
    <row r="61" spans="1:43" s="1" customFormat="1">
      <c r="A61" s="220" t="str">
        <f>Components!B61</f>
        <v>Clubhouse Equip</v>
      </c>
      <c r="B61" s="220" t="str">
        <f>Components!C61</f>
        <v>Sauna, Women's, replace</v>
      </c>
      <c r="C61" s="211"/>
      <c r="D61" s="211"/>
      <c r="E61" s="211"/>
      <c r="F61" s="88"/>
      <c r="G61" s="212"/>
      <c r="H61" s="212"/>
      <c r="I61" s="212"/>
      <c r="J61" s="211"/>
      <c r="K61" s="11">
        <f>IF('FF Balance'!H61&gt;=0,PPMT(EarningsRate,1,Components!K61,0,-'FF Balance'!G61,0),0)</f>
        <v>495.78681125404535</v>
      </c>
      <c r="L61" s="11">
        <f>IF(Components!M61&gt;0,PPMT(EarningsRate,1,Components!$K61,0,-Components!M61*((1+InflationRate)^Components!$K61),0),K61)</f>
        <v>495.78681125404535</v>
      </c>
      <c r="M61" s="11">
        <f>IF(Components!N61&gt;0,PPMT(EarningsRate,1,Components!$K61,0,-Components!N61*((1+InflationRate)^Components!$K61),0),L61)</f>
        <v>495.78681125404535</v>
      </c>
      <c r="N61" s="11">
        <f>IF(Components!O61&gt;0,PPMT(EarningsRate,1,Components!$K61,0,-Components!O61*((1+InflationRate)^Components!$K61),0),M61)</f>
        <v>495.78681125404535</v>
      </c>
      <c r="O61" s="11">
        <f>IF(Components!P61&gt;0,PPMT(EarningsRate,1,Components!$K61,0,-Components!P61*((1+InflationRate)^Components!$K61),0),N61)</f>
        <v>495.78681125404535</v>
      </c>
      <c r="P61" s="11">
        <f>IF(Components!Q61&gt;0,PPMT(EarningsRate,1,Components!$K61,0,-Components!Q61*((1+InflationRate)^Components!$K61),0),O61)</f>
        <v>495.78681125404535</v>
      </c>
      <c r="Q61" s="11">
        <f>IF(Components!R61&gt;0,PPMT(EarningsRate,1,Components!$K61,0,-Components!R61*((1+InflationRate)^Components!$K61),0),P61)</f>
        <v>495.78681125404535</v>
      </c>
      <c r="R61" s="11">
        <f>IF(Components!S61&gt;0,PPMT(EarningsRate,1,Components!$K61,0,-Components!S61*((1+InflationRate)^Components!$K61),0),Q61)</f>
        <v>495.78681125404535</v>
      </c>
      <c r="S61" s="11">
        <f>IF(Components!T61&gt;0,PPMT(EarningsRate,1,Components!$K61,0,-Components!T61*((1+InflationRate)^Components!$K61),0),R61)</f>
        <v>495.78681125404535</v>
      </c>
      <c r="T61" s="11">
        <f>IF(Components!U61&gt;0,PPMT(EarningsRate,1,Components!$K61,0,-Components!U61*((1+InflationRate)^Components!$K61),0),S61)</f>
        <v>495.78681125404535</v>
      </c>
      <c r="U61" s="11">
        <f>IF(Components!V61&gt;0,PPMT(EarningsRate,1,Components!$K61,0,-Components!V61*((1+InflationRate)^Components!$K61),0),T61)</f>
        <v>495.78681125404535</v>
      </c>
      <c r="V61" s="11">
        <f>IF(Components!W61&gt;0,PPMT(EarningsRate,1,Components!$K61,0,-Components!W61*((1+InflationRate)^Components!$K61),0),U61)</f>
        <v>495.78681125404535</v>
      </c>
      <c r="W61" s="11">
        <f>IF(Components!X61&gt;0,PPMT(EarningsRate,1,Components!$K61,0,-Components!X61*((1+InflationRate)^Components!$K61),0),V61)</f>
        <v>495.78681125404535</v>
      </c>
      <c r="X61" s="11">
        <f>IF(Components!Y61&gt;0,PPMT(EarningsRate,1,Components!$K61,0,-Components!Y61*((1+InflationRate)^Components!$K61),0),W61)</f>
        <v>986.51107568654129</v>
      </c>
      <c r="Y61" s="11">
        <f>IF(Components!Z61&gt;0,PPMT(EarningsRate,1,Components!$K61,0,-Components!Z61*((1+InflationRate)^Components!$K61),0),X61)</f>
        <v>986.51107568654129</v>
      </c>
      <c r="Z61" s="11">
        <f>IF(Components!AA61&gt;0,PPMT(EarningsRate,1,Components!$K61,0,-Components!AA61*((1+InflationRate)^Components!$K61),0),Y61)</f>
        <v>986.51107568654129</v>
      </c>
      <c r="AA61" s="11">
        <f>IF(Components!AB61&gt;0,PPMT(EarningsRate,1,Components!$K61,0,-Components!AB61*((1+InflationRate)^Components!$K61),0),Z61)</f>
        <v>986.51107568654129</v>
      </c>
      <c r="AB61" s="11">
        <f>IF(Components!AC61&gt;0,PPMT(EarningsRate,1,Components!$K61,0,-Components!AC61*((1+InflationRate)^Components!$K61),0),AA61)</f>
        <v>986.51107568654129</v>
      </c>
      <c r="AC61" s="11">
        <f>IF(Components!AD61&gt;0,PPMT(EarningsRate,1,Components!$K61,0,-Components!AD61*((1+InflationRate)^Components!$K61),0),AB61)</f>
        <v>986.51107568654129</v>
      </c>
      <c r="AD61" s="11">
        <f>IF(Components!AE61&gt;0,PPMT(EarningsRate,1,Components!$K61,0,-Components!AE61*((1+InflationRate)^Components!$K61),0),AC61)</f>
        <v>986.51107568654129</v>
      </c>
      <c r="AE61" s="11">
        <f>IF(Components!AF61&gt;0,PPMT(EarningsRate,1,Components!$K61,0,-Components!AF61*((1+InflationRate)^Components!$K61),0),AD61)</f>
        <v>986.51107568654129</v>
      </c>
      <c r="AF61" s="11">
        <f>IF(Components!AG61&gt;0,PPMT(EarningsRate,1,Components!$K61,0,-Components!AG61*((1+InflationRate)^Components!$K61),0),AE61)</f>
        <v>986.51107568654129</v>
      </c>
      <c r="AG61" s="11">
        <f>IF(Components!AH61&gt;0,PPMT(EarningsRate,1,Components!$K61,0,-Components!AH61*((1+InflationRate)^Components!$K61),0),AF61)</f>
        <v>986.51107568654129</v>
      </c>
      <c r="AH61" s="11">
        <f>IF(Components!AI61&gt;0,PPMT(EarningsRate,1,Components!$K61,0,-Components!AI61*((1+InflationRate)^Components!$K61),0),AG61)</f>
        <v>986.51107568654129</v>
      </c>
      <c r="AI61" s="11">
        <f>IF(Components!AJ61&gt;0,PPMT(EarningsRate,1,Components!$K61,0,-Components!AJ61*((1+InflationRate)^Components!$K61),0),AH61)</f>
        <v>986.51107568654129</v>
      </c>
      <c r="AJ61" s="11">
        <f>IF(Components!AK61&gt;0,PPMT(EarningsRate,1,Components!$K61,0,-Components!AK61*((1+InflationRate)^Components!$K61),0),AI61)</f>
        <v>986.51107568654129</v>
      </c>
      <c r="AK61" s="11">
        <f>IF(Components!AL61&gt;0,PPMT(EarningsRate,1,Components!$K61,0,-Components!AL61*((1+InflationRate)^Components!$K61),0),AJ61)</f>
        <v>986.51107568654129</v>
      </c>
      <c r="AL61" s="11">
        <f>IF(Components!AM61&gt;0,PPMT(EarningsRate,1,Components!$K61,0,-Components!AM61*((1+InflationRate)^Components!$K61),0),AK61)</f>
        <v>986.51107568654129</v>
      </c>
      <c r="AM61" s="11">
        <f>IF(Components!AN61&gt;0,PPMT(EarningsRate,1,Components!$K61,0,-Components!AN61*((1+InflationRate)^Components!$K61),0),AL61)</f>
        <v>986.51107568654129</v>
      </c>
      <c r="AN61" s="11">
        <f>IF(Components!AO61&gt;0,PPMT(EarningsRate,1,Components!$K61,0,-Components!AO61*((1+InflationRate)^Components!$K61),0),AM61)</f>
        <v>986.51107568654129</v>
      </c>
      <c r="AO61" s="11">
        <f>IF(Components!AP61&gt;0,PPMT(EarningsRate,1,Components!$K61,0,-Components!AP61*((1+InflationRate)^Components!$K61),0),AN61)</f>
        <v>986.51107568654129</v>
      </c>
      <c r="AP61" s="214"/>
      <c r="AQ61" s="11">
        <f t="shared" si="1"/>
        <v>24202.428008660325</v>
      </c>
    </row>
    <row r="62" spans="1:43" s="1" customFormat="1">
      <c r="A62" s="220" t="str">
        <f>Components!B62</f>
        <v>Clubhouse Equip</v>
      </c>
      <c r="B62" s="220" t="str">
        <f>Components!C62</f>
        <v>Security Cameras</v>
      </c>
      <c r="C62" s="211"/>
      <c r="D62" s="211"/>
      <c r="E62" s="211"/>
      <c r="F62" s="88"/>
      <c r="G62" s="212"/>
      <c r="H62" s="212"/>
      <c r="I62" s="212"/>
      <c r="J62" s="211"/>
      <c r="K62" s="11">
        <f>IF('FF Balance'!H62&gt;=0,PPMT(EarningsRate,1,Components!K62,0,-'FF Balance'!G62,0),0)</f>
        <v>588.91365834961118</v>
      </c>
      <c r="L62" s="11">
        <f>IF(Components!M62&gt;0,PPMT(EarningsRate,1,Components!$K62,0,-Components!M62*((1+InflationRate)^Components!$K62),0),K62)</f>
        <v>588.91365834961118</v>
      </c>
      <c r="M62" s="11">
        <f>IF(Components!N62&gt;0,PPMT(EarningsRate,1,Components!$K62,0,-Components!N62*((1+InflationRate)^Components!$K62),0),L62)</f>
        <v>588.91365834961118</v>
      </c>
      <c r="N62" s="11">
        <f>IF(Components!O62&gt;0,PPMT(EarningsRate,1,Components!$K62,0,-Components!O62*((1+InflationRate)^Components!$K62),0),M62)</f>
        <v>830.72087658081171</v>
      </c>
      <c r="O62" s="11">
        <f>IF(Components!P62&gt;0,PPMT(EarningsRate,1,Components!$K62,0,-Components!P62*((1+InflationRate)^Components!$K62),0),N62)</f>
        <v>830.72087658081171</v>
      </c>
      <c r="P62" s="11">
        <f>IF(Components!Q62&gt;0,PPMT(EarningsRate,1,Components!$K62,0,-Components!Q62*((1+InflationRate)^Components!$K62),0),O62)</f>
        <v>830.72087658081171</v>
      </c>
      <c r="Q62" s="11">
        <f>IF(Components!R62&gt;0,PPMT(EarningsRate,1,Components!$K62,0,-Components!R62*((1+InflationRate)^Components!$K62),0),P62)</f>
        <v>830.72087658081171</v>
      </c>
      <c r="R62" s="11">
        <f>IF(Components!S62&gt;0,PPMT(EarningsRate,1,Components!$K62,0,-Components!S62*((1+InflationRate)^Components!$K62),0),Q62)</f>
        <v>830.72087658081171</v>
      </c>
      <c r="S62" s="11">
        <f>IF(Components!T62&gt;0,PPMT(EarningsRate,1,Components!$K62,0,-Components!T62*((1+InflationRate)^Components!$K62),0),R62)</f>
        <v>830.72087658081171</v>
      </c>
      <c r="T62" s="11">
        <f>IF(Components!U62&gt;0,PPMT(EarningsRate,1,Components!$K62,0,-Components!U62*((1+InflationRate)^Components!$K62),0),S62)</f>
        <v>830.72087658081171</v>
      </c>
      <c r="U62" s="11">
        <f>IF(Components!V62&gt;0,PPMT(EarningsRate,1,Components!$K62,0,-Components!V62*((1+InflationRate)^Components!$K62),0),T62)</f>
        <v>830.72087658081171</v>
      </c>
      <c r="V62" s="11">
        <f>IF(Components!W62&gt;0,PPMT(EarningsRate,1,Components!$K62,0,-Components!W62*((1+InflationRate)^Components!$K62),0),U62)</f>
        <v>830.72087658081171</v>
      </c>
      <c r="W62" s="11">
        <f>IF(Components!X62&gt;0,PPMT(EarningsRate,1,Components!$K62,0,-Components!X62*((1+InflationRate)^Components!$K62),0),V62)</f>
        <v>830.72087658081171</v>
      </c>
      <c r="X62" s="11">
        <f>IF(Components!Y62&gt;0,PPMT(EarningsRate,1,Components!$K62,0,-Components!Y62*((1+InflationRate)^Components!$K62),0),W62)</f>
        <v>1171.7037124604628</v>
      </c>
      <c r="Y62" s="11">
        <f>IF(Components!Z62&gt;0,PPMT(EarningsRate,1,Components!$K62,0,-Components!Z62*((1+InflationRate)^Components!$K62),0),X62)</f>
        <v>1171.7037124604628</v>
      </c>
      <c r="Z62" s="11">
        <f>IF(Components!AA62&gt;0,PPMT(EarningsRate,1,Components!$K62,0,-Components!AA62*((1+InflationRate)^Components!$K62),0),Y62)</f>
        <v>1171.7037124604628</v>
      </c>
      <c r="AA62" s="11">
        <f>IF(Components!AB62&gt;0,PPMT(EarningsRate,1,Components!$K62,0,-Components!AB62*((1+InflationRate)^Components!$K62),0),Z62)</f>
        <v>1171.7037124604628</v>
      </c>
      <c r="AB62" s="11">
        <f>IF(Components!AC62&gt;0,PPMT(EarningsRate,1,Components!$K62,0,-Components!AC62*((1+InflationRate)^Components!$K62),0),AA62)</f>
        <v>1171.7037124604628</v>
      </c>
      <c r="AC62" s="11">
        <f>IF(Components!AD62&gt;0,PPMT(EarningsRate,1,Components!$K62,0,-Components!AD62*((1+InflationRate)^Components!$K62),0),AB62)</f>
        <v>1171.7037124604628</v>
      </c>
      <c r="AD62" s="11">
        <f>IF(Components!AE62&gt;0,PPMT(EarningsRate,1,Components!$K62,0,-Components!AE62*((1+InflationRate)^Components!$K62),0),AC62)</f>
        <v>1171.7037124604628</v>
      </c>
      <c r="AE62" s="11">
        <f>IF(Components!AF62&gt;0,PPMT(EarningsRate,1,Components!$K62,0,-Components!AF62*((1+InflationRate)^Components!$K62),0),AD62)</f>
        <v>1171.7037124604628</v>
      </c>
      <c r="AF62" s="11">
        <f>IF(Components!AG62&gt;0,PPMT(EarningsRate,1,Components!$K62,0,-Components!AG62*((1+InflationRate)^Components!$K62),0),AE62)</f>
        <v>1171.7037124604628</v>
      </c>
      <c r="AG62" s="11">
        <f>IF(Components!AH62&gt;0,PPMT(EarningsRate,1,Components!$K62,0,-Components!AH62*((1+InflationRate)^Components!$K62),0),AF62)</f>
        <v>1171.7037124604628</v>
      </c>
      <c r="AH62" s="11">
        <f>IF(Components!AI62&gt;0,PPMT(EarningsRate,1,Components!$K62,0,-Components!AI62*((1+InflationRate)^Components!$K62),0),AG62)</f>
        <v>1652.8498577107262</v>
      </c>
      <c r="AI62" s="11">
        <f>IF(Components!AJ62&gt;0,PPMT(EarningsRate,1,Components!$K62,0,-Components!AJ62*((1+InflationRate)^Components!$K62),0),AH62)</f>
        <v>1652.8498577107262</v>
      </c>
      <c r="AJ62" s="11">
        <f>IF(Components!AK62&gt;0,PPMT(EarningsRate,1,Components!$K62,0,-Components!AK62*((1+InflationRate)^Components!$K62),0),AI62)</f>
        <v>1652.8498577107262</v>
      </c>
      <c r="AK62" s="11">
        <f>IF(Components!AL62&gt;0,PPMT(EarningsRate,1,Components!$K62,0,-Components!AL62*((1+InflationRate)^Components!$K62),0),AJ62)</f>
        <v>1652.8498577107262</v>
      </c>
      <c r="AL62" s="11">
        <f>IF(Components!AM62&gt;0,PPMT(EarningsRate,1,Components!$K62,0,-Components!AM62*((1+InflationRate)^Components!$K62),0),AK62)</f>
        <v>1652.8498577107262</v>
      </c>
      <c r="AM62" s="11">
        <f>IF(Components!AN62&gt;0,PPMT(EarningsRate,1,Components!$K62,0,-Components!AN62*((1+InflationRate)^Components!$K62),0),AL62)</f>
        <v>1652.8498577107262</v>
      </c>
      <c r="AN62" s="11">
        <f>IF(Components!AO62&gt;0,PPMT(EarningsRate,1,Components!$K62,0,-Components!AO62*((1+InflationRate)^Components!$K62),0),AM62)</f>
        <v>1652.8498577107262</v>
      </c>
      <c r="AO62" s="11">
        <f>IF(Components!AP62&gt;0,PPMT(EarningsRate,1,Components!$K62,0,-Components!AP62*((1+InflationRate)^Components!$K62),0),AN62)</f>
        <v>1652.8498577107262</v>
      </c>
      <c r="AP62" s="214"/>
      <c r="AQ62" s="11">
        <f t="shared" si="1"/>
        <v>35013.785827147389</v>
      </c>
    </row>
    <row r="63" spans="1:43" s="1" customFormat="1">
      <c r="A63" s="220" t="str">
        <f>Components!B63</f>
        <v>Clubhouse Equip</v>
      </c>
      <c r="B63" s="220" t="str">
        <f>Components!C63</f>
        <v>Storage Tank Domestic for Club House</v>
      </c>
      <c r="C63" s="211"/>
      <c r="D63" s="211"/>
      <c r="E63" s="211"/>
      <c r="F63" s="88"/>
      <c r="G63" s="212"/>
      <c r="H63" s="212"/>
      <c r="I63" s="212"/>
      <c r="J63" s="211"/>
      <c r="K63" s="11">
        <f>IF('FF Balance'!H63&gt;=0,PPMT(EarningsRate,1,Components!K63,0,-'FF Balance'!G63,0),0)</f>
        <v>1923.5603731119827</v>
      </c>
      <c r="L63" s="11">
        <f>IF(Components!M63&gt;0,PPMT(EarningsRate,1,Components!$K63,0,-Components!M63*((1+InflationRate)^Components!$K63),0),K63)</f>
        <v>1923.5603731119827</v>
      </c>
      <c r="M63" s="11">
        <f>IF(Components!N63&gt;0,PPMT(EarningsRate,1,Components!$K63,0,-Components!N63*((1+InflationRate)^Components!$K63),0),L63)</f>
        <v>1923.5603731119827</v>
      </c>
      <c r="N63" s="11">
        <f>IF(Components!O63&gt;0,PPMT(EarningsRate,1,Components!$K63,0,-Components!O63*((1+InflationRate)^Components!$K63),0),M63)</f>
        <v>2713.371878291664</v>
      </c>
      <c r="O63" s="11">
        <f>IF(Components!P63&gt;0,PPMT(EarningsRate,1,Components!$K63,0,-Components!P63*((1+InflationRate)^Components!$K63),0),N63)</f>
        <v>2713.371878291664</v>
      </c>
      <c r="P63" s="11">
        <f>IF(Components!Q63&gt;0,PPMT(EarningsRate,1,Components!$K63,0,-Components!Q63*((1+InflationRate)^Components!$K63),0),O63)</f>
        <v>2713.371878291664</v>
      </c>
      <c r="Q63" s="11">
        <f>IF(Components!R63&gt;0,PPMT(EarningsRate,1,Components!$K63,0,-Components!R63*((1+InflationRate)^Components!$K63),0),P63)</f>
        <v>2713.371878291664</v>
      </c>
      <c r="R63" s="11">
        <f>IF(Components!S63&gt;0,PPMT(EarningsRate,1,Components!$K63,0,-Components!S63*((1+InflationRate)^Components!$K63),0),Q63)</f>
        <v>2713.371878291664</v>
      </c>
      <c r="S63" s="11">
        <f>IF(Components!T63&gt;0,PPMT(EarningsRate,1,Components!$K63,0,-Components!T63*((1+InflationRate)^Components!$K63),0),R63)</f>
        <v>2713.371878291664</v>
      </c>
      <c r="T63" s="11">
        <f>IF(Components!U63&gt;0,PPMT(EarningsRate,1,Components!$K63,0,-Components!U63*((1+InflationRate)^Components!$K63),0),S63)</f>
        <v>2713.371878291664</v>
      </c>
      <c r="U63" s="11">
        <f>IF(Components!V63&gt;0,PPMT(EarningsRate,1,Components!$K63,0,-Components!V63*((1+InflationRate)^Components!$K63),0),T63)</f>
        <v>2713.371878291664</v>
      </c>
      <c r="V63" s="11">
        <f>IF(Components!W63&gt;0,PPMT(EarningsRate,1,Components!$K63,0,-Components!W63*((1+InflationRate)^Components!$K63),0),U63)</f>
        <v>2713.371878291664</v>
      </c>
      <c r="W63" s="11">
        <f>IF(Components!X63&gt;0,PPMT(EarningsRate,1,Components!$K63,0,-Components!X63*((1+InflationRate)^Components!$K63),0),V63)</f>
        <v>2713.371878291664</v>
      </c>
      <c r="X63" s="11">
        <f>IF(Components!Y63&gt;0,PPMT(EarningsRate,1,Components!$K63,0,-Components!Y63*((1+InflationRate)^Components!$K63),0),W63)</f>
        <v>3827.4970675065592</v>
      </c>
      <c r="Y63" s="11">
        <f>IF(Components!Z63&gt;0,PPMT(EarningsRate,1,Components!$K63,0,-Components!Z63*((1+InflationRate)^Components!$K63),0),X63)</f>
        <v>3827.4970675065592</v>
      </c>
      <c r="Z63" s="11">
        <f>IF(Components!AA63&gt;0,PPMT(EarningsRate,1,Components!$K63,0,-Components!AA63*((1+InflationRate)^Components!$K63),0),Y63)</f>
        <v>3827.4970675065592</v>
      </c>
      <c r="AA63" s="11">
        <f>IF(Components!AB63&gt;0,PPMT(EarningsRate,1,Components!$K63,0,-Components!AB63*((1+InflationRate)^Components!$K63),0),Z63)</f>
        <v>3827.4970675065592</v>
      </c>
      <c r="AB63" s="11">
        <f>IF(Components!AC63&gt;0,PPMT(EarningsRate,1,Components!$K63,0,-Components!AC63*((1+InflationRate)^Components!$K63),0),AA63)</f>
        <v>3827.4970675065592</v>
      </c>
      <c r="AC63" s="11">
        <f>IF(Components!AD63&gt;0,PPMT(EarningsRate,1,Components!$K63,0,-Components!AD63*((1+InflationRate)^Components!$K63),0),AB63)</f>
        <v>3827.4970675065592</v>
      </c>
      <c r="AD63" s="11">
        <f>IF(Components!AE63&gt;0,PPMT(EarningsRate,1,Components!$K63,0,-Components!AE63*((1+InflationRate)^Components!$K63),0),AC63)</f>
        <v>3827.4970675065592</v>
      </c>
      <c r="AE63" s="11">
        <f>IF(Components!AF63&gt;0,PPMT(EarningsRate,1,Components!$K63,0,-Components!AF63*((1+InflationRate)^Components!$K63),0),AD63)</f>
        <v>3827.4970675065592</v>
      </c>
      <c r="AF63" s="11">
        <f>IF(Components!AG63&gt;0,PPMT(EarningsRate,1,Components!$K63,0,-Components!AG63*((1+InflationRate)^Components!$K63),0),AE63)</f>
        <v>3827.4970675065592</v>
      </c>
      <c r="AG63" s="11">
        <f>IF(Components!AH63&gt;0,PPMT(EarningsRate,1,Components!$K63,0,-Components!AH63*((1+InflationRate)^Components!$K63),0),AF63)</f>
        <v>3827.4970675065592</v>
      </c>
      <c r="AH63" s="11">
        <f>IF(Components!AI63&gt;0,PPMT(EarningsRate,1,Components!$K63,0,-Components!AI63*((1+InflationRate)^Components!$K63),0),AG63)</f>
        <v>5399.0445115475977</v>
      </c>
      <c r="AI63" s="11">
        <f>IF(Components!AJ63&gt;0,PPMT(EarningsRate,1,Components!$K63,0,-Components!AJ63*((1+InflationRate)^Components!$K63),0),AH63)</f>
        <v>5399.0445115475977</v>
      </c>
      <c r="AJ63" s="11">
        <f>IF(Components!AK63&gt;0,PPMT(EarningsRate,1,Components!$K63,0,-Components!AK63*((1+InflationRate)^Components!$K63),0),AI63)</f>
        <v>5399.0445115475977</v>
      </c>
      <c r="AK63" s="11">
        <f>IF(Components!AL63&gt;0,PPMT(EarningsRate,1,Components!$K63,0,-Components!AL63*((1+InflationRate)^Components!$K63),0),AJ63)</f>
        <v>5399.0445115475977</v>
      </c>
      <c r="AL63" s="11">
        <f>IF(Components!AM63&gt;0,PPMT(EarningsRate,1,Components!$K63,0,-Components!AM63*((1+InflationRate)^Components!$K63),0),AK63)</f>
        <v>5399.0445115475977</v>
      </c>
      <c r="AM63" s="11">
        <f>IF(Components!AN63&gt;0,PPMT(EarningsRate,1,Components!$K63,0,-Components!AN63*((1+InflationRate)^Components!$K63),0),AL63)</f>
        <v>5399.0445115475977</v>
      </c>
      <c r="AN63" s="11">
        <f>IF(Components!AO63&gt;0,PPMT(EarningsRate,1,Components!$K63,0,-Components!AO63*((1+InflationRate)^Components!$K63),0),AM63)</f>
        <v>5399.0445115475977</v>
      </c>
      <c r="AO63" s="11">
        <f>IF(Components!AP63&gt;0,PPMT(EarningsRate,1,Components!$K63,0,-Components!AP63*((1+InflationRate)^Components!$K63),0),AN63)</f>
        <v>5399.0445115475977</v>
      </c>
      <c r="AP63" s="214"/>
      <c r="AQ63" s="11">
        <f t="shared" si="1"/>
        <v>114371.72676969897</v>
      </c>
    </row>
    <row r="64" spans="1:43" s="1" customFormat="1">
      <c r="A64" s="220" t="str">
        <f>Components!B64</f>
        <v>Clubhouse Equip</v>
      </c>
      <c r="B64" s="220" t="str">
        <f>Components!C64</f>
        <v>Strength Training Equipment</v>
      </c>
      <c r="C64" s="211"/>
      <c r="D64" s="211"/>
      <c r="E64" s="211"/>
      <c r="F64" s="88"/>
      <c r="G64" s="212"/>
      <c r="H64" s="212"/>
      <c r="I64" s="212"/>
      <c r="J64" s="211"/>
      <c r="K64" s="11">
        <f>IF('FF Balance'!H64&gt;=0,PPMT(EarningsRate,1,Components!K64,0,-'FF Balance'!G64,0),0)</f>
        <v>4031.7585418565773</v>
      </c>
      <c r="L64" s="11">
        <f>IF(Components!M64&gt;0,PPMT(EarningsRate,1,Components!$K64,0,-Components!M64*((1+InflationRate)^Components!$K64),0),K64)</f>
        <v>4031.7585418565773</v>
      </c>
      <c r="M64" s="11">
        <f>IF(Components!N64&gt;0,PPMT(EarningsRate,1,Components!$K64,0,-Components!N64*((1+InflationRate)^Components!$K64),0),L64)</f>
        <v>4031.7585418565773</v>
      </c>
      <c r="N64" s="11">
        <f>IF(Components!O64&gt;0,PPMT(EarningsRate,1,Components!$K64,0,-Components!O64*((1+InflationRate)^Components!$K64),0),M64)</f>
        <v>5687.1936022665059</v>
      </c>
      <c r="O64" s="11">
        <f>IF(Components!P64&gt;0,PPMT(EarningsRate,1,Components!$K64,0,-Components!P64*((1+InflationRate)^Components!$K64),0),N64)</f>
        <v>5687.1936022665059</v>
      </c>
      <c r="P64" s="11">
        <f>IF(Components!Q64&gt;0,PPMT(EarningsRate,1,Components!$K64,0,-Components!Q64*((1+InflationRate)^Components!$K64),0),O64)</f>
        <v>5687.1936022665059</v>
      </c>
      <c r="Q64" s="11">
        <f>IF(Components!R64&gt;0,PPMT(EarningsRate,1,Components!$K64,0,-Components!R64*((1+InflationRate)^Components!$K64),0),P64)</f>
        <v>5687.1936022665059</v>
      </c>
      <c r="R64" s="11">
        <f>IF(Components!S64&gt;0,PPMT(EarningsRate,1,Components!$K64,0,-Components!S64*((1+InflationRate)^Components!$K64),0),Q64)</f>
        <v>5687.1936022665059</v>
      </c>
      <c r="S64" s="11">
        <f>IF(Components!T64&gt;0,PPMT(EarningsRate,1,Components!$K64,0,-Components!T64*((1+InflationRate)^Components!$K64),0),R64)</f>
        <v>5687.1936022665059</v>
      </c>
      <c r="T64" s="11">
        <f>IF(Components!U64&gt;0,PPMT(EarningsRate,1,Components!$K64,0,-Components!U64*((1+InflationRate)^Components!$K64),0),S64)</f>
        <v>5687.1936022665059</v>
      </c>
      <c r="U64" s="11">
        <f>IF(Components!V64&gt;0,PPMT(EarningsRate,1,Components!$K64,0,-Components!V64*((1+InflationRate)^Components!$K64),0),T64)</f>
        <v>5687.1936022665059</v>
      </c>
      <c r="V64" s="11">
        <f>IF(Components!W64&gt;0,PPMT(EarningsRate,1,Components!$K64,0,-Components!W64*((1+InflationRate)^Components!$K64),0),U64)</f>
        <v>5687.1936022665059</v>
      </c>
      <c r="W64" s="11">
        <f>IF(Components!X64&gt;0,PPMT(EarningsRate,1,Components!$K64,0,-Components!X64*((1+InflationRate)^Components!$K64),0),V64)</f>
        <v>5687.1936022665059</v>
      </c>
      <c r="X64" s="11">
        <f>IF(Components!Y64&gt;0,PPMT(EarningsRate,1,Components!$K64,0,-Components!Y64*((1+InflationRate)^Components!$K64),0),W64)</f>
        <v>8022.2656062276064</v>
      </c>
      <c r="Y64" s="11">
        <f>IF(Components!Z64&gt;0,PPMT(EarningsRate,1,Components!$K64,0,-Components!Z64*((1+InflationRate)^Components!$K64),0),X64)</f>
        <v>8022.2656062276064</v>
      </c>
      <c r="Z64" s="11">
        <f>IF(Components!AA64&gt;0,PPMT(EarningsRate,1,Components!$K64,0,-Components!AA64*((1+InflationRate)^Components!$K64),0),Y64)</f>
        <v>8022.2656062276064</v>
      </c>
      <c r="AA64" s="11">
        <f>IF(Components!AB64&gt;0,PPMT(EarningsRate,1,Components!$K64,0,-Components!AB64*((1+InflationRate)^Components!$K64),0),Z64)</f>
        <v>8022.2656062276064</v>
      </c>
      <c r="AB64" s="11">
        <f>IF(Components!AC64&gt;0,PPMT(EarningsRate,1,Components!$K64,0,-Components!AC64*((1+InflationRate)^Components!$K64),0),AA64)</f>
        <v>8022.2656062276064</v>
      </c>
      <c r="AC64" s="11">
        <f>IF(Components!AD64&gt;0,PPMT(EarningsRate,1,Components!$K64,0,-Components!AD64*((1+InflationRate)^Components!$K64),0),AB64)</f>
        <v>8022.2656062276064</v>
      </c>
      <c r="AD64" s="11">
        <f>IF(Components!AE64&gt;0,PPMT(EarningsRate,1,Components!$K64,0,-Components!AE64*((1+InflationRate)^Components!$K64),0),AC64)</f>
        <v>8022.2656062276064</v>
      </c>
      <c r="AE64" s="11">
        <f>IF(Components!AF64&gt;0,PPMT(EarningsRate,1,Components!$K64,0,-Components!AF64*((1+InflationRate)^Components!$K64),0),AD64)</f>
        <v>8022.2656062276064</v>
      </c>
      <c r="AF64" s="11">
        <f>IF(Components!AG64&gt;0,PPMT(EarningsRate,1,Components!$K64,0,-Components!AG64*((1+InflationRate)^Components!$K64),0),AE64)</f>
        <v>8022.2656062276064</v>
      </c>
      <c r="AG64" s="11">
        <f>IF(Components!AH64&gt;0,PPMT(EarningsRate,1,Components!$K64,0,-Components!AH64*((1+InflationRate)^Components!$K64),0),AF64)</f>
        <v>8022.2656062276064</v>
      </c>
      <c r="AH64" s="11">
        <f>IF(Components!AI64&gt;0,PPMT(EarningsRate,1,Components!$K64,0,-Components!AI64*((1+InflationRate)^Components!$K64),0),AG64)</f>
        <v>11316.295732305303</v>
      </c>
      <c r="AI64" s="11">
        <f>IF(Components!AJ64&gt;0,PPMT(EarningsRate,1,Components!$K64,0,-Components!AJ64*((1+InflationRate)^Components!$K64),0),AH64)</f>
        <v>11316.295732305303</v>
      </c>
      <c r="AJ64" s="11">
        <f>IF(Components!AK64&gt;0,PPMT(EarningsRate,1,Components!$K64,0,-Components!AK64*((1+InflationRate)^Components!$K64),0),AI64)</f>
        <v>11316.295732305303</v>
      </c>
      <c r="AK64" s="11">
        <f>IF(Components!AL64&gt;0,PPMT(EarningsRate,1,Components!$K64,0,-Components!AL64*((1+InflationRate)^Components!$K64),0),AJ64)</f>
        <v>11316.295732305303</v>
      </c>
      <c r="AL64" s="11">
        <f>IF(Components!AM64&gt;0,PPMT(EarningsRate,1,Components!$K64,0,-Components!AM64*((1+InflationRate)^Components!$K64),0),AK64)</f>
        <v>11316.295732305303</v>
      </c>
      <c r="AM64" s="11">
        <f>IF(Components!AN64&gt;0,PPMT(EarningsRate,1,Components!$K64,0,-Components!AN64*((1+InflationRate)^Components!$K64),0),AL64)</f>
        <v>11316.295732305303</v>
      </c>
      <c r="AN64" s="11">
        <f>IF(Components!AO64&gt;0,PPMT(EarningsRate,1,Components!$K64,0,-Components!AO64*((1+InflationRate)^Components!$K64),0),AM64)</f>
        <v>11316.295732305303</v>
      </c>
      <c r="AO64" s="11">
        <f>IF(Components!AP64&gt;0,PPMT(EarningsRate,1,Components!$K64,0,-Components!AP64*((1+InflationRate)^Components!$K64),0),AN64)</f>
        <v>11316.295732305303</v>
      </c>
      <c r="AP64" s="214"/>
      <c r="AQ64" s="11">
        <f t="shared" si="1"/>
        <v>239720.23366895321</v>
      </c>
    </row>
    <row r="65" spans="1:43" s="1" customFormat="1">
      <c r="A65" s="220" t="str">
        <f>Components!B65</f>
        <v>Clubhouse Equip</v>
      </c>
      <c r="B65" s="220" t="str">
        <f>Components!C65</f>
        <v>Women's/Men's Restroom Renovation</v>
      </c>
      <c r="C65" s="211"/>
      <c r="D65" s="211"/>
      <c r="E65" s="211"/>
      <c r="F65" s="88"/>
      <c r="G65" s="212"/>
      <c r="H65" s="212"/>
      <c r="I65" s="212"/>
      <c r="J65" s="211"/>
      <c r="K65" s="11">
        <f>IF('FF Balance'!H65&gt;=0,PPMT(EarningsRate,1,Components!K65,0,-'FF Balance'!G65,0),0)</f>
        <v>10583.503337363167</v>
      </c>
      <c r="L65" s="11">
        <f>IF(Components!M65&gt;0,PPMT(EarningsRate,1,Components!$K65,0,-Components!M65*((1+InflationRate)^Components!$K65),0),K65)</f>
        <v>10583.503337363167</v>
      </c>
      <c r="M65" s="11">
        <f>IF(Components!N65&gt;0,PPMT(EarningsRate,1,Components!$K65,0,-Components!N65*((1+InflationRate)^Components!$K65),0),L65)</f>
        <v>10583.503337363167</v>
      </c>
      <c r="N65" s="11">
        <f>IF(Components!O65&gt;0,PPMT(EarningsRate,1,Components!$K65,0,-Components!O65*((1+InflationRate)^Components!$K65),0),M65)</f>
        <v>10583.503337363167</v>
      </c>
      <c r="O65" s="11">
        <f>IF(Components!P65&gt;0,PPMT(EarningsRate,1,Components!$K65,0,-Components!P65*((1+InflationRate)^Components!$K65),0),N65)</f>
        <v>10583.503337363167</v>
      </c>
      <c r="P65" s="11">
        <f>IF(Components!Q65&gt;0,PPMT(EarningsRate,1,Components!$K65,0,-Components!Q65*((1+InflationRate)^Components!$K65),0),O65)</f>
        <v>10583.503337363167</v>
      </c>
      <c r="Q65" s="11">
        <f>IF(Components!R65&gt;0,PPMT(EarningsRate,1,Components!$K65,0,-Components!R65*((1+InflationRate)^Components!$K65),0),P65)</f>
        <v>10583.503337363167</v>
      </c>
      <c r="R65" s="11">
        <f>IF(Components!S65&gt;0,PPMT(EarningsRate,1,Components!$K65,0,-Components!S65*((1+InflationRate)^Components!$K65),0),Q65)</f>
        <v>10583.503337363167</v>
      </c>
      <c r="S65" s="11">
        <f>IF(Components!T65&gt;0,PPMT(EarningsRate,1,Components!$K65,0,-Components!T65*((1+InflationRate)^Components!$K65),0),R65)</f>
        <v>17731.059941512955</v>
      </c>
      <c r="T65" s="11">
        <f>IF(Components!U65&gt;0,PPMT(EarningsRate,1,Components!$K65,0,-Components!U65*((1+InflationRate)^Components!$K65),0),S65)</f>
        <v>17731.059941512955</v>
      </c>
      <c r="U65" s="11">
        <f>IF(Components!V65&gt;0,PPMT(EarningsRate,1,Components!$K65,0,-Components!V65*((1+InflationRate)^Components!$K65),0),T65)</f>
        <v>17731.059941512955</v>
      </c>
      <c r="V65" s="11">
        <f>IF(Components!W65&gt;0,PPMT(EarningsRate,1,Components!$K65,0,-Components!W65*((1+InflationRate)^Components!$K65),0),U65)</f>
        <v>17731.059941512955</v>
      </c>
      <c r="W65" s="11">
        <f>IF(Components!X65&gt;0,PPMT(EarningsRate,1,Components!$K65,0,-Components!X65*((1+InflationRate)^Components!$K65),0),V65)</f>
        <v>17731.059941512955</v>
      </c>
      <c r="X65" s="11">
        <f>IF(Components!Y65&gt;0,PPMT(EarningsRate,1,Components!$K65,0,-Components!Y65*((1+InflationRate)^Components!$K65),0),W65)</f>
        <v>17731.059941512955</v>
      </c>
      <c r="Y65" s="11">
        <f>IF(Components!Z65&gt;0,PPMT(EarningsRate,1,Components!$K65,0,-Components!Z65*((1+InflationRate)^Components!$K65),0),X65)</f>
        <v>17731.059941512955</v>
      </c>
      <c r="Z65" s="11">
        <f>IF(Components!AA65&gt;0,PPMT(EarningsRate,1,Components!$K65,0,-Components!AA65*((1+InflationRate)^Components!$K65),0),Y65)</f>
        <v>17731.059941512955</v>
      </c>
      <c r="AA65" s="11">
        <f>IF(Components!AB65&gt;0,PPMT(EarningsRate,1,Components!$K65,0,-Components!AB65*((1+InflationRate)^Components!$K65),0),Z65)</f>
        <v>17731.059941512955</v>
      </c>
      <c r="AB65" s="11">
        <f>IF(Components!AC65&gt;0,PPMT(EarningsRate,1,Components!$K65,0,-Components!AC65*((1+InflationRate)^Components!$K65),0),AA65)</f>
        <v>17731.059941512955</v>
      </c>
      <c r="AC65" s="11">
        <f>IF(Components!AD65&gt;0,PPMT(EarningsRate,1,Components!$K65,0,-Components!AD65*((1+InflationRate)^Components!$K65),0),AB65)</f>
        <v>17731.059941512955</v>
      </c>
      <c r="AD65" s="11">
        <f>IF(Components!AE65&gt;0,PPMT(EarningsRate,1,Components!$K65,0,-Components!AE65*((1+InflationRate)^Components!$K65),0),AC65)</f>
        <v>17731.059941512955</v>
      </c>
      <c r="AE65" s="11">
        <f>IF(Components!AF65&gt;0,PPMT(EarningsRate,1,Components!$K65,0,-Components!AF65*((1+InflationRate)^Components!$K65),0),AD65)</f>
        <v>17731.059941512955</v>
      </c>
      <c r="AF65" s="11">
        <f>IF(Components!AG65&gt;0,PPMT(EarningsRate,1,Components!$K65,0,-Components!AG65*((1+InflationRate)^Components!$K65),0),AE65)</f>
        <v>17731.059941512955</v>
      </c>
      <c r="AG65" s="11">
        <f>IF(Components!AH65&gt;0,PPMT(EarningsRate,1,Components!$K65,0,-Components!AH65*((1+InflationRate)^Components!$K65),0),AF65)</f>
        <v>17731.059941512955</v>
      </c>
      <c r="AH65" s="11">
        <f>IF(Components!AI65&gt;0,PPMT(EarningsRate,1,Components!$K65,0,-Components!AI65*((1+InflationRate)^Components!$K65),0),AG65)</f>
        <v>29705.750648462061</v>
      </c>
      <c r="AI65" s="11">
        <f>IF(Components!AJ65&gt;0,PPMT(EarningsRate,1,Components!$K65,0,-Components!AJ65*((1+InflationRate)^Components!$K65),0),AH65)</f>
        <v>29705.750648462061</v>
      </c>
      <c r="AJ65" s="11">
        <f>IF(Components!AK65&gt;0,PPMT(EarningsRate,1,Components!$K65,0,-Components!AK65*((1+InflationRate)^Components!$K65),0),AI65)</f>
        <v>29705.750648462061</v>
      </c>
      <c r="AK65" s="11">
        <f>IF(Components!AL65&gt;0,PPMT(EarningsRate,1,Components!$K65,0,-Components!AL65*((1+InflationRate)^Components!$K65),0),AJ65)</f>
        <v>29705.750648462061</v>
      </c>
      <c r="AL65" s="11">
        <f>IF(Components!AM65&gt;0,PPMT(EarningsRate,1,Components!$K65,0,-Components!AM65*((1+InflationRate)^Components!$K65),0),AK65)</f>
        <v>29705.750648462061</v>
      </c>
      <c r="AM65" s="11">
        <f>IF(Components!AN65&gt;0,PPMT(EarningsRate,1,Components!$K65,0,-Components!AN65*((1+InflationRate)^Components!$K65),0),AL65)</f>
        <v>29705.750648462061</v>
      </c>
      <c r="AN65" s="11">
        <f>IF(Components!AO65&gt;0,PPMT(EarningsRate,1,Components!$K65,0,-Components!AO65*((1+InflationRate)^Components!$K65),0),AM65)</f>
        <v>29705.750648462061</v>
      </c>
      <c r="AO65" s="11">
        <f>IF(Components!AP65&gt;0,PPMT(EarningsRate,1,Components!$K65,0,-Components!AP65*((1+InflationRate)^Components!$K65),0),AN65)</f>
        <v>29705.750648462061</v>
      </c>
      <c r="AP65" s="214"/>
      <c r="AQ65" s="11">
        <f t="shared" si="1"/>
        <v>588279.93110929593</v>
      </c>
    </row>
    <row r="66" spans="1:43" s="1" customFormat="1">
      <c r="A66" s="220" t="str">
        <f>Components!B66</f>
        <v>Pools</v>
      </c>
      <c r="B66" s="220" t="str">
        <f>Components!C66</f>
        <v>Indoor Pool Heater/Boiler</v>
      </c>
      <c r="C66" s="211"/>
      <c r="D66" s="211"/>
      <c r="E66" s="211"/>
      <c r="F66" s="88"/>
      <c r="G66" s="212"/>
      <c r="H66" s="212"/>
      <c r="I66" s="212"/>
      <c r="J66" s="211"/>
      <c r="K66" s="11">
        <f>IF('FF Balance'!H66&gt;=0,PPMT(EarningsRate,1,Components!K66,0,-'FF Balance'!G66,0),0)</f>
        <v>1551.6478072081914</v>
      </c>
      <c r="L66" s="11">
        <f>IF(Components!M66&gt;0,PPMT(EarningsRate,1,Components!$K66,0,-Components!M66*((1+InflationRate)^Components!$K66),0),K66)</f>
        <v>1551.6478072081914</v>
      </c>
      <c r="M66" s="11">
        <f>IF(Components!N66&gt;0,PPMT(EarningsRate,1,Components!$K66,0,-Components!N66*((1+InflationRate)^Components!$K66),0),L66)</f>
        <v>1551.6478072081914</v>
      </c>
      <c r="N66" s="11">
        <f>IF(Components!O66&gt;0,PPMT(EarningsRate,1,Components!$K66,0,-Components!O66*((1+InflationRate)^Components!$K66),0),M66)</f>
        <v>1551.6478072081914</v>
      </c>
      <c r="O66" s="11">
        <f>IF(Components!P66&gt;0,PPMT(EarningsRate,1,Components!$K66,0,-Components!P66*((1+InflationRate)^Components!$K66),0),N66)</f>
        <v>1551.6478072081914</v>
      </c>
      <c r="P66" s="11">
        <f>IF(Components!Q66&gt;0,PPMT(EarningsRate,1,Components!$K66,0,-Components!Q66*((1+InflationRate)^Components!$K66),0),O66)</f>
        <v>1551.6478072081914</v>
      </c>
      <c r="Q66" s="11">
        <f>IF(Components!R66&gt;0,PPMT(EarningsRate,1,Components!$K66,0,-Components!R66*((1+InflationRate)^Components!$K66),0),P66)</f>
        <v>1551.6478072081914</v>
      </c>
      <c r="R66" s="11">
        <f>IF(Components!S66&gt;0,PPMT(EarningsRate,1,Components!$K66,0,-Components!S66*((1+InflationRate)^Components!$K66),0),Q66)</f>
        <v>1551.6478072081914</v>
      </c>
      <c r="S66" s="11">
        <f>IF(Components!T66&gt;0,PPMT(EarningsRate,1,Components!$K66,0,-Components!T66*((1+InflationRate)^Components!$K66),0),R66)</f>
        <v>2599.5513395453954</v>
      </c>
      <c r="T66" s="11">
        <f>IF(Components!U66&gt;0,PPMT(EarningsRate,1,Components!$K66,0,-Components!U66*((1+InflationRate)^Components!$K66),0),S66)</f>
        <v>2599.5513395453954</v>
      </c>
      <c r="U66" s="11">
        <f>IF(Components!V66&gt;0,PPMT(EarningsRate,1,Components!$K66,0,-Components!V66*((1+InflationRate)^Components!$K66),0),T66)</f>
        <v>2599.5513395453954</v>
      </c>
      <c r="V66" s="11">
        <f>IF(Components!W66&gt;0,PPMT(EarningsRate,1,Components!$K66,0,-Components!W66*((1+InflationRate)^Components!$K66),0),U66)</f>
        <v>2599.5513395453954</v>
      </c>
      <c r="W66" s="11">
        <f>IF(Components!X66&gt;0,PPMT(EarningsRate,1,Components!$K66,0,-Components!X66*((1+InflationRate)^Components!$K66),0),V66)</f>
        <v>2599.5513395453954</v>
      </c>
      <c r="X66" s="11">
        <f>IF(Components!Y66&gt;0,PPMT(EarningsRate,1,Components!$K66,0,-Components!Y66*((1+InflationRate)^Components!$K66),0),W66)</f>
        <v>2599.5513395453954</v>
      </c>
      <c r="Y66" s="11">
        <f>IF(Components!Z66&gt;0,PPMT(EarningsRate,1,Components!$K66,0,-Components!Z66*((1+InflationRate)^Components!$K66),0),X66)</f>
        <v>2599.5513395453954</v>
      </c>
      <c r="Z66" s="11">
        <f>IF(Components!AA66&gt;0,PPMT(EarningsRate,1,Components!$K66,0,-Components!AA66*((1+InflationRate)^Components!$K66),0),Y66)</f>
        <v>2599.5513395453954</v>
      </c>
      <c r="AA66" s="11">
        <f>IF(Components!AB66&gt;0,PPMT(EarningsRate,1,Components!$K66,0,-Components!AB66*((1+InflationRate)^Components!$K66),0),Z66)</f>
        <v>2599.5513395453954</v>
      </c>
      <c r="AB66" s="11">
        <f>IF(Components!AC66&gt;0,PPMT(EarningsRate,1,Components!$K66,0,-Components!AC66*((1+InflationRate)^Components!$K66),0),AA66)</f>
        <v>2599.5513395453954</v>
      </c>
      <c r="AC66" s="11">
        <f>IF(Components!AD66&gt;0,PPMT(EarningsRate,1,Components!$K66,0,-Components!AD66*((1+InflationRate)^Components!$K66),0),AB66)</f>
        <v>2599.5513395453954</v>
      </c>
      <c r="AD66" s="11">
        <f>IF(Components!AE66&gt;0,PPMT(EarningsRate,1,Components!$K66,0,-Components!AE66*((1+InflationRate)^Components!$K66),0),AC66)</f>
        <v>2599.5513395453954</v>
      </c>
      <c r="AE66" s="11">
        <f>IF(Components!AF66&gt;0,PPMT(EarningsRate,1,Components!$K66,0,-Components!AF66*((1+InflationRate)^Components!$K66),0),AD66)</f>
        <v>2599.5513395453954</v>
      </c>
      <c r="AF66" s="11">
        <f>IF(Components!AG66&gt;0,PPMT(EarningsRate,1,Components!$K66,0,-Components!AG66*((1+InflationRate)^Components!$K66),0),AE66)</f>
        <v>2599.5513395453954</v>
      </c>
      <c r="AG66" s="11">
        <f>IF(Components!AH66&gt;0,PPMT(EarningsRate,1,Components!$K66,0,-Components!AH66*((1+InflationRate)^Components!$K66),0),AF66)</f>
        <v>2599.5513395453954</v>
      </c>
      <c r="AH66" s="11">
        <f>IF(Components!AI66&gt;0,PPMT(EarningsRate,1,Components!$K66,0,-Components!AI66*((1+InflationRate)^Components!$K66),0),AG66)</f>
        <v>4355.1237311660143</v>
      </c>
      <c r="AI66" s="11">
        <f>IF(Components!AJ66&gt;0,PPMT(EarningsRate,1,Components!$K66,0,-Components!AJ66*((1+InflationRate)^Components!$K66),0),AH66)</f>
        <v>4355.1237311660143</v>
      </c>
      <c r="AJ66" s="11">
        <f>IF(Components!AK66&gt;0,PPMT(EarningsRate,1,Components!$K66,0,-Components!AK66*((1+InflationRate)^Components!$K66),0),AI66)</f>
        <v>4355.1237311660143</v>
      </c>
      <c r="AK66" s="11">
        <f>IF(Components!AL66&gt;0,PPMT(EarningsRate,1,Components!$K66,0,-Components!AL66*((1+InflationRate)^Components!$K66),0),AJ66)</f>
        <v>4355.1237311660143</v>
      </c>
      <c r="AL66" s="11">
        <f>IF(Components!AM66&gt;0,PPMT(EarningsRate,1,Components!$K66,0,-Components!AM66*((1+InflationRate)^Components!$K66),0),AK66)</f>
        <v>4355.1237311660143</v>
      </c>
      <c r="AM66" s="11">
        <f>IF(Components!AN66&gt;0,PPMT(EarningsRate,1,Components!$K66,0,-Components!AN66*((1+InflationRate)^Components!$K66),0),AL66)</f>
        <v>4355.1237311660143</v>
      </c>
      <c r="AN66" s="11">
        <f>IF(Components!AO66&gt;0,PPMT(EarningsRate,1,Components!$K66,0,-Components!AO66*((1+InflationRate)^Components!$K66),0),AM66)</f>
        <v>4355.1237311660143</v>
      </c>
      <c r="AO66" s="11">
        <f>IF(Components!AP66&gt;0,PPMT(EarningsRate,1,Components!$K66,0,-Components!AP66*((1+InflationRate)^Components!$K66),0),AN66)</f>
        <v>4355.1237311660143</v>
      </c>
      <c r="AP66" s="214"/>
      <c r="AQ66" s="11">
        <f t="shared" si="1"/>
        <v>86247.442500174569</v>
      </c>
    </row>
    <row r="67" spans="1:43" s="1" customFormat="1">
      <c r="A67" s="220" t="str">
        <f>Components!B67</f>
        <v>Pools</v>
      </c>
      <c r="B67" s="220" t="str">
        <f>Components!C67</f>
        <v>Boiler, outdoor pool</v>
      </c>
      <c r="C67" s="211"/>
      <c r="D67" s="211"/>
      <c r="E67" s="211"/>
      <c r="F67" s="88"/>
      <c r="G67" s="212"/>
      <c r="H67" s="212"/>
      <c r="I67" s="212"/>
      <c r="J67" s="211"/>
      <c r="K67" s="11">
        <f>IF('FF Balance'!H67&gt;=0,PPMT(EarningsRate,1,Components!K67,0,-'FF Balance'!G67,0),0)</f>
        <v>1956.7824296541071</v>
      </c>
      <c r="L67" s="11">
        <f>IF(Components!M67&gt;0,PPMT(EarningsRate,1,Components!$K67,0,-Components!M67*((1+InflationRate)^Components!$K67),0),K67)</f>
        <v>1956.7824296541071</v>
      </c>
      <c r="M67" s="11">
        <f>IF(Components!N67&gt;0,PPMT(EarningsRate,1,Components!$K67,0,-Components!N67*((1+InflationRate)^Components!$K67),0),L67)</f>
        <v>1956.7824296541071</v>
      </c>
      <c r="N67" s="11">
        <f>IF(Components!O67&gt;0,PPMT(EarningsRate,1,Components!$K67,0,-Components!O67*((1+InflationRate)^Components!$K67),0),M67)</f>
        <v>1956.7824296541071</v>
      </c>
      <c r="O67" s="11">
        <f>IF(Components!P67&gt;0,PPMT(EarningsRate,1,Components!$K67,0,-Components!P67*((1+InflationRate)^Components!$K67),0),N67)</f>
        <v>1956.7824296541071</v>
      </c>
      <c r="P67" s="11">
        <f>IF(Components!Q67&gt;0,PPMT(EarningsRate,1,Components!$K67,0,-Components!Q67*((1+InflationRate)^Components!$K67),0),O67)</f>
        <v>1956.7824296541071</v>
      </c>
      <c r="Q67" s="11">
        <f>IF(Components!R67&gt;0,PPMT(EarningsRate,1,Components!$K67,0,-Components!R67*((1+InflationRate)^Components!$K67),0),P67)</f>
        <v>1956.7824296541071</v>
      </c>
      <c r="R67" s="11">
        <f>IF(Components!S67&gt;0,PPMT(EarningsRate,1,Components!$K67,0,-Components!S67*((1+InflationRate)^Components!$K67),0),Q67)</f>
        <v>1956.7824296541071</v>
      </c>
      <c r="S67" s="11">
        <f>IF(Components!T67&gt;0,PPMT(EarningsRate,1,Components!$K67,0,-Components!T67*((1+InflationRate)^Components!$K67),0),R67)</f>
        <v>1956.7824296541071</v>
      </c>
      <c r="T67" s="11">
        <f>IF(Components!U67&gt;0,PPMT(EarningsRate,1,Components!$K67,0,-Components!U67*((1+InflationRate)^Components!$K67),0),S67)</f>
        <v>1956.7824296541071</v>
      </c>
      <c r="U67" s="11">
        <f>IF(Components!V67&gt;0,PPMT(EarningsRate,1,Components!$K67,0,-Components!V67*((1+InflationRate)^Components!$K67),0),T67)</f>
        <v>1956.7824296541071</v>
      </c>
      <c r="V67" s="11">
        <f>IF(Components!W67&gt;0,PPMT(EarningsRate,1,Components!$K67,0,-Components!W67*((1+InflationRate)^Components!$K67),0),U67)</f>
        <v>1956.7824296541071</v>
      </c>
      <c r="W67" s="11">
        <f>IF(Components!X67&gt;0,PPMT(EarningsRate,1,Components!$K67,0,-Components!X67*((1+InflationRate)^Components!$K67),0),V67)</f>
        <v>1956.7824296541071</v>
      </c>
      <c r="X67" s="11">
        <f>IF(Components!Y67&gt;0,PPMT(EarningsRate,1,Components!$K67,0,-Components!Y67*((1+InflationRate)^Components!$K67),0),W67)</f>
        <v>1956.7824296541071</v>
      </c>
      <c r="Y67" s="11">
        <f>IF(Components!Z67&gt;0,PPMT(EarningsRate,1,Components!$K67,0,-Components!Z67*((1+InflationRate)^Components!$K67),0),X67)</f>
        <v>1956.7824296541071</v>
      </c>
      <c r="Z67" s="11">
        <f>IF(Components!AA67&gt;0,PPMT(EarningsRate,1,Components!$K67,0,-Components!AA67*((1+InflationRate)^Components!$K67),0),Y67)</f>
        <v>3278.2931555573773</v>
      </c>
      <c r="AA67" s="11">
        <f>IF(Components!AB67&gt;0,PPMT(EarningsRate,1,Components!$K67,0,-Components!AB67*((1+InflationRate)^Components!$K67),0),Z67)</f>
        <v>3278.2931555573773</v>
      </c>
      <c r="AB67" s="11">
        <f>IF(Components!AC67&gt;0,PPMT(EarningsRate,1,Components!$K67,0,-Components!AC67*((1+InflationRate)^Components!$K67),0),AA67)</f>
        <v>3278.2931555573773</v>
      </c>
      <c r="AC67" s="11">
        <f>IF(Components!AD67&gt;0,PPMT(EarningsRate,1,Components!$K67,0,-Components!AD67*((1+InflationRate)^Components!$K67),0),AB67)</f>
        <v>3278.2931555573773</v>
      </c>
      <c r="AD67" s="11">
        <f>IF(Components!AE67&gt;0,PPMT(EarningsRate,1,Components!$K67,0,-Components!AE67*((1+InflationRate)^Components!$K67),0),AC67)</f>
        <v>3278.2931555573773</v>
      </c>
      <c r="AE67" s="11">
        <f>IF(Components!AF67&gt;0,PPMT(EarningsRate,1,Components!$K67,0,-Components!AF67*((1+InflationRate)^Components!$K67),0),AD67)</f>
        <v>3278.2931555573773</v>
      </c>
      <c r="AF67" s="11">
        <f>IF(Components!AG67&gt;0,PPMT(EarningsRate,1,Components!$K67,0,-Components!AG67*((1+InflationRate)^Components!$K67),0),AE67)</f>
        <v>3278.2931555573773</v>
      </c>
      <c r="AG67" s="11">
        <f>IF(Components!AH67&gt;0,PPMT(EarningsRate,1,Components!$K67,0,-Components!AH67*((1+InflationRate)^Components!$K67),0),AF67)</f>
        <v>3278.2931555573773</v>
      </c>
      <c r="AH67" s="11">
        <f>IF(Components!AI67&gt;0,PPMT(EarningsRate,1,Components!$K67,0,-Components!AI67*((1+InflationRate)^Components!$K67),0),AG67)</f>
        <v>3278.2931555573773</v>
      </c>
      <c r="AI67" s="11">
        <f>IF(Components!AJ67&gt;0,PPMT(EarningsRate,1,Components!$K67,0,-Components!AJ67*((1+InflationRate)^Components!$K67),0),AH67)</f>
        <v>3278.2931555573773</v>
      </c>
      <c r="AJ67" s="11">
        <f>IF(Components!AK67&gt;0,PPMT(EarningsRate,1,Components!$K67,0,-Components!AK67*((1+InflationRate)^Components!$K67),0),AI67)</f>
        <v>3278.2931555573773</v>
      </c>
      <c r="AK67" s="11">
        <f>IF(Components!AL67&gt;0,PPMT(EarningsRate,1,Components!$K67,0,-Components!AL67*((1+InflationRate)^Components!$K67),0),AJ67)</f>
        <v>3278.2931555573773</v>
      </c>
      <c r="AL67" s="11">
        <f>IF(Components!AM67&gt;0,PPMT(EarningsRate,1,Components!$K67,0,-Components!AM67*((1+InflationRate)^Components!$K67),0),AK67)</f>
        <v>3278.2931555573773</v>
      </c>
      <c r="AM67" s="11">
        <f>IF(Components!AN67&gt;0,PPMT(EarningsRate,1,Components!$K67,0,-Components!AN67*((1+InflationRate)^Components!$K67),0),AL67)</f>
        <v>3278.2931555573773</v>
      </c>
      <c r="AN67" s="11">
        <f>IF(Components!AO67&gt;0,PPMT(EarningsRate,1,Components!$K67,0,-Components!AO67*((1+InflationRate)^Components!$K67),0),AM67)</f>
        <v>3278.2931555573773</v>
      </c>
      <c r="AO67" s="11">
        <f>IF(Components!AP67&gt;0,PPMT(EarningsRate,1,Components!$K67,0,-Components!AP67*((1+InflationRate)^Components!$K67),0),AN67)</f>
        <v>5492.2591273272255</v>
      </c>
      <c r="AP67" s="214"/>
      <c r="AQ67" s="11">
        <f t="shared" si="1"/>
        <v>84018.393005499456</v>
      </c>
    </row>
    <row r="68" spans="1:43" s="1" customFormat="1">
      <c r="A68" s="220" t="str">
        <f>Components!B68</f>
        <v>Pools</v>
      </c>
      <c r="B68" s="220" t="str">
        <f>Components!C68</f>
        <v>Boiler, indoor spa</v>
      </c>
      <c r="C68" s="211"/>
      <c r="D68" s="211"/>
      <c r="E68" s="211"/>
      <c r="F68" s="88"/>
      <c r="G68" s="212"/>
      <c r="H68" s="212"/>
      <c r="I68" s="212"/>
      <c r="J68" s="211"/>
      <c r="K68" s="11">
        <f>IF('FF Balance'!H68&gt;=0,PPMT(EarningsRate,1,Components!K68,0,-'FF Balance'!G68,0),0)</f>
        <v>1586.2653752023655</v>
      </c>
      <c r="L68" s="11">
        <f>IF(Components!M68&gt;0,PPMT(EarningsRate,1,Components!$K68,0,-Components!M68*((1+InflationRate)^Components!$K68),0),K68)</f>
        <v>1586.2653752023655</v>
      </c>
      <c r="M68" s="11">
        <f>IF(Components!N68&gt;0,PPMT(EarningsRate,1,Components!$K68,0,-Components!N68*((1+InflationRate)^Components!$K68),0),L68)</f>
        <v>1586.2653752023655</v>
      </c>
      <c r="N68" s="11">
        <f>IF(Components!O68&gt;0,PPMT(EarningsRate,1,Components!$K68,0,-Components!O68*((1+InflationRate)^Components!$K68),0),M68)</f>
        <v>1586.2653752023655</v>
      </c>
      <c r="O68" s="11">
        <f>IF(Components!P68&gt;0,PPMT(EarningsRate,1,Components!$K68,0,-Components!P68*((1+InflationRate)^Components!$K68),0),N68)</f>
        <v>1586.2653752023655</v>
      </c>
      <c r="P68" s="11">
        <f>IF(Components!Q68&gt;0,PPMT(EarningsRate,1,Components!$K68,0,-Components!Q68*((1+InflationRate)^Components!$K68),0),O68)</f>
        <v>1586.2653752023655</v>
      </c>
      <c r="Q68" s="11">
        <f>IF(Components!R68&gt;0,PPMT(EarningsRate,1,Components!$K68,0,-Components!R68*((1+InflationRate)^Components!$K68),0),P68)</f>
        <v>1586.2653752023655</v>
      </c>
      <c r="R68" s="11">
        <f>IF(Components!S68&gt;0,PPMT(EarningsRate,1,Components!$K68,0,-Components!S68*((1+InflationRate)^Components!$K68),0),Q68)</f>
        <v>1586.2653752023655</v>
      </c>
      <c r="S68" s="11">
        <f>IF(Components!T68&gt;0,PPMT(EarningsRate,1,Components!$K68,0,-Components!T68*((1+InflationRate)^Components!$K68),0),R68)</f>
        <v>1586.2653752023655</v>
      </c>
      <c r="T68" s="11">
        <f>IF(Components!U68&gt;0,PPMT(EarningsRate,1,Components!$K68,0,-Components!U68*((1+InflationRate)^Components!$K68),0),S68)</f>
        <v>1586.2653752023655</v>
      </c>
      <c r="U68" s="11">
        <f>IF(Components!V68&gt;0,PPMT(EarningsRate,1,Components!$K68,0,-Components!V68*((1+InflationRate)^Components!$K68),0),T68)</f>
        <v>1586.2653752023655</v>
      </c>
      <c r="V68" s="11">
        <f>IF(Components!W68&gt;0,PPMT(EarningsRate,1,Components!$K68,0,-Components!W68*((1+InflationRate)^Components!$K68),0),U68)</f>
        <v>1586.2653752023655</v>
      </c>
      <c r="W68" s="11">
        <f>IF(Components!X68&gt;0,PPMT(EarningsRate,1,Components!$K68,0,-Components!X68*((1+InflationRate)^Components!$K68),0),V68)</f>
        <v>1586.2653752023655</v>
      </c>
      <c r="X68" s="11">
        <f>IF(Components!Y68&gt;0,PPMT(EarningsRate,1,Components!$K68,0,-Components!Y68*((1+InflationRate)^Components!$K68),0),W68)</f>
        <v>1586.2653752023655</v>
      </c>
      <c r="Y68" s="11">
        <f>IF(Components!Z68&gt;0,PPMT(EarningsRate,1,Components!$K68,0,-Components!Z68*((1+InflationRate)^Components!$K68),0),X68)</f>
        <v>1586.2653752023655</v>
      </c>
      <c r="Z68" s="11">
        <f>IF(Components!AA68&gt;0,PPMT(EarningsRate,1,Components!$K68,0,-Components!AA68*((1+InflationRate)^Components!$K68),0),Y68)</f>
        <v>2657.5478416079186</v>
      </c>
      <c r="AA68" s="11">
        <f>IF(Components!AB68&gt;0,PPMT(EarningsRate,1,Components!$K68,0,-Components!AB68*((1+InflationRate)^Components!$K68),0),Z68)</f>
        <v>2657.5478416079186</v>
      </c>
      <c r="AB68" s="11">
        <f>IF(Components!AC68&gt;0,PPMT(EarningsRate,1,Components!$K68,0,-Components!AC68*((1+InflationRate)^Components!$K68),0),AA68)</f>
        <v>2657.5478416079186</v>
      </c>
      <c r="AC68" s="11">
        <f>IF(Components!AD68&gt;0,PPMT(EarningsRate,1,Components!$K68,0,-Components!AD68*((1+InflationRate)^Components!$K68),0),AB68)</f>
        <v>2657.5478416079186</v>
      </c>
      <c r="AD68" s="11">
        <f>IF(Components!AE68&gt;0,PPMT(EarningsRate,1,Components!$K68,0,-Components!AE68*((1+InflationRate)^Components!$K68),0),AC68)</f>
        <v>2657.5478416079186</v>
      </c>
      <c r="AE68" s="11">
        <f>IF(Components!AF68&gt;0,PPMT(EarningsRate,1,Components!$K68,0,-Components!AF68*((1+InflationRate)^Components!$K68),0),AD68)</f>
        <v>2657.5478416079186</v>
      </c>
      <c r="AF68" s="11">
        <f>IF(Components!AG68&gt;0,PPMT(EarningsRate,1,Components!$K68,0,-Components!AG68*((1+InflationRate)^Components!$K68),0),AE68)</f>
        <v>2657.5478416079186</v>
      </c>
      <c r="AG68" s="11">
        <f>IF(Components!AH68&gt;0,PPMT(EarningsRate,1,Components!$K68,0,-Components!AH68*((1+InflationRate)^Components!$K68),0),AF68)</f>
        <v>2657.5478416079186</v>
      </c>
      <c r="AH68" s="11">
        <f>IF(Components!AI68&gt;0,PPMT(EarningsRate,1,Components!$K68,0,-Components!AI68*((1+InflationRate)^Components!$K68),0),AG68)</f>
        <v>2657.5478416079186</v>
      </c>
      <c r="AI68" s="11">
        <f>IF(Components!AJ68&gt;0,PPMT(EarningsRate,1,Components!$K68,0,-Components!AJ68*((1+InflationRate)^Components!$K68),0),AH68)</f>
        <v>2657.5478416079186</v>
      </c>
      <c r="AJ68" s="11">
        <f>IF(Components!AK68&gt;0,PPMT(EarningsRate,1,Components!$K68,0,-Components!AK68*((1+InflationRate)^Components!$K68),0),AI68)</f>
        <v>2657.5478416079186</v>
      </c>
      <c r="AK68" s="11">
        <f>IF(Components!AL68&gt;0,PPMT(EarningsRate,1,Components!$K68,0,-Components!AL68*((1+InflationRate)^Components!$K68),0),AJ68)</f>
        <v>2657.5478416079186</v>
      </c>
      <c r="AL68" s="11">
        <f>IF(Components!AM68&gt;0,PPMT(EarningsRate,1,Components!$K68,0,-Components!AM68*((1+InflationRate)^Components!$K68),0),AK68)</f>
        <v>2657.5478416079186</v>
      </c>
      <c r="AM68" s="11">
        <f>IF(Components!AN68&gt;0,PPMT(EarningsRate,1,Components!$K68,0,-Components!AN68*((1+InflationRate)^Components!$K68),0),AL68)</f>
        <v>2657.5478416079186</v>
      </c>
      <c r="AN68" s="11">
        <f>IF(Components!AO68&gt;0,PPMT(EarningsRate,1,Components!$K68,0,-Components!AO68*((1+InflationRate)^Components!$K68),0),AM68)</f>
        <v>2657.5478416079186</v>
      </c>
      <c r="AO68" s="11">
        <f>IF(Components!AP68&gt;0,PPMT(EarningsRate,1,Components!$K68,0,-Components!AP68*((1+InflationRate)^Components!$K68),0),AN68)</f>
        <v>4452.361647559399</v>
      </c>
      <c r="AP68" s="214"/>
      <c r="AQ68" s="11">
        <f t="shared" ref="AQ68:AQ131" si="2">SUM(K68:AP68)+0.0001</f>
        <v>68109.559999713689</v>
      </c>
    </row>
    <row r="69" spans="1:43" s="1" customFormat="1">
      <c r="A69" s="220" t="str">
        <f>Components!B69</f>
        <v>Pools</v>
      </c>
      <c r="B69" s="220" t="str">
        <f>Components!C69</f>
        <v>Chemical control system, indoor pool/spa</v>
      </c>
      <c r="C69" s="211"/>
      <c r="D69" s="211"/>
      <c r="E69" s="211"/>
      <c r="F69" s="88"/>
      <c r="G69" s="212"/>
      <c r="H69" s="212"/>
      <c r="I69" s="212"/>
      <c r="J69" s="211"/>
      <c r="K69" s="11">
        <f>IF('FF Balance'!H69&gt;=0,PPMT(EarningsRate,1,Components!K69,0,-'FF Balance'!G69,0),0)</f>
        <v>1578.2849679851188</v>
      </c>
      <c r="L69" s="11">
        <f>IF(Components!M69&gt;0,PPMT(EarningsRate,1,Components!$K69,0,-Components!M69*((1+InflationRate)^Components!$K69),0),K69)</f>
        <v>1578.2849679851188</v>
      </c>
      <c r="M69" s="11">
        <f>IF(Components!N69&gt;0,PPMT(EarningsRate,1,Components!$K69,0,-Components!N69*((1+InflationRate)^Components!$K69),0),L69)</f>
        <v>1578.2849679851188</v>
      </c>
      <c r="N69" s="11">
        <f>IF(Components!O69&gt;0,PPMT(EarningsRate,1,Components!$K69,0,-Components!O69*((1+InflationRate)^Components!$K69),0),M69)</f>
        <v>2226.3268197467546</v>
      </c>
      <c r="O69" s="11">
        <f>IF(Components!P69&gt;0,PPMT(EarningsRate,1,Components!$K69,0,-Components!P69*((1+InflationRate)^Components!$K69),0),N69)</f>
        <v>2226.3268197467546</v>
      </c>
      <c r="P69" s="11">
        <f>IF(Components!Q69&gt;0,PPMT(EarningsRate,1,Components!$K69,0,-Components!Q69*((1+InflationRate)^Components!$K69),0),O69)</f>
        <v>2226.3268197467546</v>
      </c>
      <c r="Q69" s="11">
        <f>IF(Components!R69&gt;0,PPMT(EarningsRate,1,Components!$K69,0,-Components!R69*((1+InflationRate)^Components!$K69),0),P69)</f>
        <v>2226.3268197467546</v>
      </c>
      <c r="R69" s="11">
        <f>IF(Components!S69&gt;0,PPMT(EarningsRate,1,Components!$K69,0,-Components!S69*((1+InflationRate)^Components!$K69),0),Q69)</f>
        <v>2226.3268197467546</v>
      </c>
      <c r="S69" s="11">
        <f>IF(Components!T69&gt;0,PPMT(EarningsRate,1,Components!$K69,0,-Components!T69*((1+InflationRate)^Components!$K69),0),R69)</f>
        <v>2226.3268197467546</v>
      </c>
      <c r="T69" s="11">
        <f>IF(Components!U69&gt;0,PPMT(EarningsRate,1,Components!$K69,0,-Components!U69*((1+InflationRate)^Components!$K69),0),S69)</f>
        <v>2226.3268197467546</v>
      </c>
      <c r="U69" s="11">
        <f>IF(Components!V69&gt;0,PPMT(EarningsRate,1,Components!$K69,0,-Components!V69*((1+InflationRate)^Components!$K69),0),T69)</f>
        <v>2226.3268197467546</v>
      </c>
      <c r="V69" s="11">
        <f>IF(Components!W69&gt;0,PPMT(EarningsRate,1,Components!$K69,0,-Components!W69*((1+InflationRate)^Components!$K69),0),U69)</f>
        <v>2226.3268197467546</v>
      </c>
      <c r="W69" s="11">
        <f>IF(Components!X69&gt;0,PPMT(EarningsRate,1,Components!$K69,0,-Components!X69*((1+InflationRate)^Components!$K69),0),V69)</f>
        <v>2226.3268197467546</v>
      </c>
      <c r="X69" s="11">
        <f>IF(Components!Y69&gt;0,PPMT(EarningsRate,1,Components!$K69,0,-Components!Y69*((1+InflationRate)^Components!$K69),0),W69)</f>
        <v>3140.4019059258262</v>
      </c>
      <c r="Y69" s="11">
        <f>IF(Components!Z69&gt;0,PPMT(EarningsRate,1,Components!$K69,0,-Components!Z69*((1+InflationRate)^Components!$K69),0),X69)</f>
        <v>3140.4019059258262</v>
      </c>
      <c r="Z69" s="11">
        <f>IF(Components!AA69&gt;0,PPMT(EarningsRate,1,Components!$K69,0,-Components!AA69*((1+InflationRate)^Components!$K69),0),Y69)</f>
        <v>3140.4019059258262</v>
      </c>
      <c r="AA69" s="11">
        <f>IF(Components!AB69&gt;0,PPMT(EarningsRate,1,Components!$K69,0,-Components!AB69*((1+InflationRate)^Components!$K69),0),Z69)</f>
        <v>3140.4019059258262</v>
      </c>
      <c r="AB69" s="11">
        <f>IF(Components!AC69&gt;0,PPMT(EarningsRate,1,Components!$K69,0,-Components!AC69*((1+InflationRate)^Components!$K69),0),AA69)</f>
        <v>3140.4019059258262</v>
      </c>
      <c r="AC69" s="11">
        <f>IF(Components!AD69&gt;0,PPMT(EarningsRate,1,Components!$K69,0,-Components!AD69*((1+InflationRate)^Components!$K69),0),AB69)</f>
        <v>3140.4019059258262</v>
      </c>
      <c r="AD69" s="11">
        <f>IF(Components!AE69&gt;0,PPMT(EarningsRate,1,Components!$K69,0,-Components!AE69*((1+InflationRate)^Components!$K69),0),AC69)</f>
        <v>3140.4019059258262</v>
      </c>
      <c r="AE69" s="11">
        <f>IF(Components!AF69&gt;0,PPMT(EarningsRate,1,Components!$K69,0,-Components!AF69*((1+InflationRate)^Components!$K69),0),AD69)</f>
        <v>3140.4019059258262</v>
      </c>
      <c r="AF69" s="11">
        <f>IF(Components!AG69&gt;0,PPMT(EarningsRate,1,Components!$K69,0,-Components!AG69*((1+InflationRate)^Components!$K69),0),AE69)</f>
        <v>3140.4019059258262</v>
      </c>
      <c r="AG69" s="11">
        <f>IF(Components!AH69&gt;0,PPMT(EarningsRate,1,Components!$K69,0,-Components!AH69*((1+InflationRate)^Components!$K69),0),AF69)</f>
        <v>3140.4019059258262</v>
      </c>
      <c r="AH69" s="11">
        <f>IF(Components!AI69&gt;0,PPMT(EarningsRate,1,Components!$K69,0,-Components!AI69*((1+InflationRate)^Components!$K69),0),AG69)</f>
        <v>4429.8274097881394</v>
      </c>
      <c r="AI69" s="11">
        <f>IF(Components!AJ69&gt;0,PPMT(EarningsRate,1,Components!$K69,0,-Components!AJ69*((1+InflationRate)^Components!$K69),0),AH69)</f>
        <v>4429.8274097881394</v>
      </c>
      <c r="AJ69" s="11">
        <f>IF(Components!AK69&gt;0,PPMT(EarningsRate,1,Components!$K69,0,-Components!AK69*((1+InflationRate)^Components!$K69),0),AI69)</f>
        <v>4429.8274097881394</v>
      </c>
      <c r="AK69" s="11">
        <f>IF(Components!AL69&gt;0,PPMT(EarningsRate,1,Components!$K69,0,-Components!AL69*((1+InflationRate)^Components!$K69),0),AJ69)</f>
        <v>4429.8274097881394</v>
      </c>
      <c r="AL69" s="11">
        <f>IF(Components!AM69&gt;0,PPMT(EarningsRate,1,Components!$K69,0,-Components!AM69*((1+InflationRate)^Components!$K69),0),AK69)</f>
        <v>4429.8274097881394</v>
      </c>
      <c r="AM69" s="11">
        <f>IF(Components!AN69&gt;0,PPMT(EarningsRate,1,Components!$K69,0,-Components!AN69*((1+InflationRate)^Components!$K69),0),AL69)</f>
        <v>4429.8274097881394</v>
      </c>
      <c r="AN69" s="11">
        <f>IF(Components!AO69&gt;0,PPMT(EarningsRate,1,Components!$K69,0,-Components!AO69*((1+InflationRate)^Components!$K69),0),AM69)</f>
        <v>4429.8274097881394</v>
      </c>
      <c r="AO69" s="11">
        <f>IF(Components!AP69&gt;0,PPMT(EarningsRate,1,Components!$K69,0,-Components!AP69*((1+InflationRate)^Components!$K69),0),AN69)</f>
        <v>4429.8274097881394</v>
      </c>
      <c r="AP69" s="214"/>
      <c r="AQ69" s="11">
        <f t="shared" si="2"/>
        <v>93840.761538986291</v>
      </c>
    </row>
    <row r="70" spans="1:43" s="1" customFormat="1">
      <c r="A70" s="220" t="str">
        <f>Components!B70</f>
        <v>Pools</v>
      </c>
      <c r="B70" s="220" t="str">
        <f>Components!C70</f>
        <v>Clubhouse Pool PDU</v>
      </c>
      <c r="C70" s="211"/>
      <c r="D70" s="211"/>
      <c r="E70" s="211"/>
      <c r="F70" s="88"/>
      <c r="G70" s="212"/>
      <c r="H70" s="212"/>
      <c r="I70" s="212"/>
      <c r="J70" s="211"/>
      <c r="K70" s="11">
        <f>IF('FF Balance'!H70&gt;=0,PPMT(EarningsRate,1,Components!K70,0,-'FF Balance'!G70,0),0)</f>
        <v>2856.5521529919038</v>
      </c>
      <c r="L70" s="11">
        <f>IF(Components!M70&gt;0,PPMT(EarningsRate,1,Components!$K70,0,-Components!M70*((1+InflationRate)^Components!$K70),0),K70)</f>
        <v>2856.5521529919038</v>
      </c>
      <c r="M70" s="11">
        <f>IF(Components!N70&gt;0,PPMT(EarningsRate,1,Components!$K70,0,-Components!N70*((1+InflationRate)^Components!$K70),0),L70)</f>
        <v>2856.5521529919038</v>
      </c>
      <c r="N70" s="11">
        <f>IF(Components!O70&gt;0,PPMT(EarningsRate,1,Components!$K70,0,-Components!O70*((1+InflationRate)^Components!$K70),0),M70)</f>
        <v>2856.5521529919038</v>
      </c>
      <c r="O70" s="11">
        <f>IF(Components!P70&gt;0,PPMT(EarningsRate,1,Components!$K70,0,-Components!P70*((1+InflationRate)^Components!$K70),0),N70)</f>
        <v>2856.5521529919038</v>
      </c>
      <c r="P70" s="11">
        <f>IF(Components!Q70&gt;0,PPMT(EarningsRate,1,Components!$K70,0,-Components!Q70*((1+InflationRate)^Components!$K70),0),O70)</f>
        <v>2856.5521529919038</v>
      </c>
      <c r="Q70" s="11">
        <f>IF(Components!R70&gt;0,PPMT(EarningsRate,1,Components!$K70,0,-Components!R70*((1+InflationRate)^Components!$K70),0),P70)</f>
        <v>2856.5521529919038</v>
      </c>
      <c r="R70" s="11">
        <f>IF(Components!S70&gt;0,PPMT(EarningsRate,1,Components!$K70,0,-Components!S70*((1+InflationRate)^Components!$K70),0),Q70)</f>
        <v>2856.5521529919038</v>
      </c>
      <c r="S70" s="11">
        <f>IF(Components!T70&gt;0,PPMT(EarningsRate,1,Components!$K70,0,-Components!T70*((1+InflationRate)^Components!$K70),0),R70)</f>
        <v>4785.7213094975505</v>
      </c>
      <c r="T70" s="11">
        <f>IF(Components!U70&gt;0,PPMT(EarningsRate,1,Components!$K70,0,-Components!U70*((1+InflationRate)^Components!$K70),0),S70)</f>
        <v>4785.7213094975505</v>
      </c>
      <c r="U70" s="11">
        <f>IF(Components!V70&gt;0,PPMT(EarningsRate,1,Components!$K70,0,-Components!V70*((1+InflationRate)^Components!$K70),0),T70)</f>
        <v>4785.7213094975505</v>
      </c>
      <c r="V70" s="11">
        <f>IF(Components!W70&gt;0,PPMT(EarningsRate,1,Components!$K70,0,-Components!W70*((1+InflationRate)^Components!$K70),0),U70)</f>
        <v>4785.7213094975505</v>
      </c>
      <c r="W70" s="11">
        <f>IF(Components!X70&gt;0,PPMT(EarningsRate,1,Components!$K70,0,-Components!X70*((1+InflationRate)^Components!$K70),0),V70)</f>
        <v>4785.7213094975505</v>
      </c>
      <c r="X70" s="11">
        <f>IF(Components!Y70&gt;0,PPMT(EarningsRate,1,Components!$K70,0,-Components!Y70*((1+InflationRate)^Components!$K70),0),W70)</f>
        <v>4785.7213094975505</v>
      </c>
      <c r="Y70" s="11">
        <f>IF(Components!Z70&gt;0,PPMT(EarningsRate,1,Components!$K70,0,-Components!Z70*((1+InflationRate)^Components!$K70),0),X70)</f>
        <v>4785.7213094975505</v>
      </c>
      <c r="Z70" s="11">
        <f>IF(Components!AA70&gt;0,PPMT(EarningsRate,1,Components!$K70,0,-Components!AA70*((1+InflationRate)^Components!$K70),0),Y70)</f>
        <v>4785.7213094975505</v>
      </c>
      <c r="AA70" s="11">
        <f>IF(Components!AB70&gt;0,PPMT(EarningsRate,1,Components!$K70,0,-Components!AB70*((1+InflationRate)^Components!$K70),0),Z70)</f>
        <v>4785.7213094975505</v>
      </c>
      <c r="AB70" s="11">
        <f>IF(Components!AC70&gt;0,PPMT(EarningsRate,1,Components!$K70,0,-Components!AC70*((1+InflationRate)^Components!$K70),0),AA70)</f>
        <v>4785.7213094975505</v>
      </c>
      <c r="AC70" s="11">
        <f>IF(Components!AD70&gt;0,PPMT(EarningsRate,1,Components!$K70,0,-Components!AD70*((1+InflationRate)^Components!$K70),0),AB70)</f>
        <v>4785.7213094975505</v>
      </c>
      <c r="AD70" s="11">
        <f>IF(Components!AE70&gt;0,PPMT(EarningsRate,1,Components!$K70,0,-Components!AE70*((1+InflationRate)^Components!$K70),0),AC70)</f>
        <v>4785.7213094975505</v>
      </c>
      <c r="AE70" s="11">
        <f>IF(Components!AF70&gt;0,PPMT(EarningsRate,1,Components!$K70,0,-Components!AF70*((1+InflationRate)^Components!$K70),0),AD70)</f>
        <v>4785.7213094975505</v>
      </c>
      <c r="AF70" s="11">
        <f>IF(Components!AG70&gt;0,PPMT(EarningsRate,1,Components!$K70,0,-Components!AG70*((1+InflationRate)^Components!$K70),0),AE70)</f>
        <v>4785.7213094975505</v>
      </c>
      <c r="AG70" s="11">
        <f>IF(Components!AH70&gt;0,PPMT(EarningsRate,1,Components!$K70,0,-Components!AH70*((1+InflationRate)^Components!$K70),0),AF70)</f>
        <v>4785.7213094975505</v>
      </c>
      <c r="AH70" s="11">
        <f>IF(Components!AI70&gt;0,PPMT(EarningsRate,1,Components!$K70,0,-Components!AI70*((1+InflationRate)^Components!$K70),0),AG70)</f>
        <v>8017.7519153168287</v>
      </c>
      <c r="AI70" s="11">
        <f>IF(Components!AJ70&gt;0,PPMT(EarningsRate,1,Components!$K70,0,-Components!AJ70*((1+InflationRate)^Components!$K70),0),AH70)</f>
        <v>8017.7519153168287</v>
      </c>
      <c r="AJ70" s="11">
        <f>IF(Components!AK70&gt;0,PPMT(EarningsRate,1,Components!$K70,0,-Components!AK70*((1+InflationRate)^Components!$K70),0),AI70)</f>
        <v>8017.7519153168287</v>
      </c>
      <c r="AK70" s="11">
        <f>IF(Components!AL70&gt;0,PPMT(EarningsRate,1,Components!$K70,0,-Components!AL70*((1+InflationRate)^Components!$K70),0),AJ70)</f>
        <v>8017.7519153168287</v>
      </c>
      <c r="AL70" s="11">
        <f>IF(Components!AM70&gt;0,PPMT(EarningsRate,1,Components!$K70,0,-Components!AM70*((1+InflationRate)^Components!$K70),0),AK70)</f>
        <v>8017.7519153168287</v>
      </c>
      <c r="AM70" s="11">
        <f>IF(Components!AN70&gt;0,PPMT(EarningsRate,1,Components!$K70,0,-Components!AN70*((1+InflationRate)^Components!$K70),0),AL70)</f>
        <v>8017.7519153168287</v>
      </c>
      <c r="AN70" s="11">
        <f>IF(Components!AO70&gt;0,PPMT(EarningsRate,1,Components!$K70,0,-Components!AO70*((1+InflationRate)^Components!$K70),0),AM70)</f>
        <v>8017.7519153168287</v>
      </c>
      <c r="AO70" s="11">
        <f>IF(Components!AP70&gt;0,PPMT(EarningsRate,1,Components!$K70,0,-Components!AP70*((1+InflationRate)^Components!$K70),0),AN70)</f>
        <v>8017.7519153168287</v>
      </c>
      <c r="AP70" s="214"/>
      <c r="AQ70" s="11">
        <f t="shared" si="2"/>
        <v>158780.25228893309</v>
      </c>
    </row>
    <row r="71" spans="1:43" s="1" customFormat="1">
      <c r="A71" s="220" t="str">
        <f>Components!B71</f>
        <v>Pools</v>
      </c>
      <c r="B71" s="220" t="str">
        <f>Components!C71</f>
        <v xml:space="preserve">Compressor #1 Pool </v>
      </c>
      <c r="C71" s="211"/>
      <c r="D71" s="211"/>
      <c r="E71" s="211"/>
      <c r="F71" s="88"/>
      <c r="G71" s="212"/>
      <c r="H71" s="212"/>
      <c r="I71" s="212"/>
      <c r="J71" s="211"/>
      <c r="K71" s="11">
        <f>IF('FF Balance'!H71&gt;=0,PPMT(EarningsRate,1,Components!K71,0,-'FF Balance'!G71,0),0)</f>
        <v>543.60489442261223</v>
      </c>
      <c r="L71" s="11">
        <f>IF(Components!M71&gt;0,PPMT(EarningsRate,1,Components!$K71,0,-Components!M71*((1+InflationRate)^Components!$K71),0),K71)</f>
        <v>543.60489442261223</v>
      </c>
      <c r="M71" s="11">
        <f>IF(Components!N71&gt;0,PPMT(EarningsRate,1,Components!$K71,0,-Components!N71*((1+InflationRate)^Components!$K71),0),L71)</f>
        <v>543.60489442261223</v>
      </c>
      <c r="N71" s="11">
        <f>IF(Components!O71&gt;0,PPMT(EarningsRate,1,Components!$K71,0,-Components!O71*((1+InflationRate)^Components!$K71),0),M71)</f>
        <v>543.60489442261223</v>
      </c>
      <c r="O71" s="11">
        <f>IF(Components!P71&gt;0,PPMT(EarningsRate,1,Components!$K71,0,-Components!P71*((1+InflationRate)^Components!$K71),0),N71)</f>
        <v>543.60489442261223</v>
      </c>
      <c r="P71" s="11">
        <f>IF(Components!Q71&gt;0,PPMT(EarningsRate,1,Components!$K71,0,-Components!Q71*((1+InflationRate)^Components!$K71),0),O71)</f>
        <v>543.60489442261223</v>
      </c>
      <c r="Q71" s="11">
        <f>IF(Components!R71&gt;0,PPMT(EarningsRate,1,Components!$K71,0,-Components!R71*((1+InflationRate)^Components!$K71),0),P71)</f>
        <v>543.60489442261223</v>
      </c>
      <c r="R71" s="11">
        <f>IF(Components!S71&gt;0,PPMT(EarningsRate,1,Components!$K71,0,-Components!S71*((1+InflationRate)^Components!$K71),0),Q71)</f>
        <v>543.60489442261223</v>
      </c>
      <c r="S71" s="11">
        <f>IF(Components!T71&gt;0,PPMT(EarningsRate,1,Components!$K71,0,-Components!T71*((1+InflationRate)^Components!$K71),0),R71)</f>
        <v>910.72782426207448</v>
      </c>
      <c r="T71" s="11">
        <f>IF(Components!U71&gt;0,PPMT(EarningsRate,1,Components!$K71,0,-Components!U71*((1+InflationRate)^Components!$K71),0),S71)</f>
        <v>910.72782426207448</v>
      </c>
      <c r="U71" s="11">
        <f>IF(Components!V71&gt;0,PPMT(EarningsRate,1,Components!$K71,0,-Components!V71*((1+InflationRate)^Components!$K71),0),T71)</f>
        <v>910.72782426207448</v>
      </c>
      <c r="V71" s="11">
        <f>IF(Components!W71&gt;0,PPMT(EarningsRate,1,Components!$K71,0,-Components!W71*((1+InflationRate)^Components!$K71),0),U71)</f>
        <v>910.72782426207448</v>
      </c>
      <c r="W71" s="11">
        <f>IF(Components!X71&gt;0,PPMT(EarningsRate,1,Components!$K71,0,-Components!X71*((1+InflationRate)^Components!$K71),0),V71)</f>
        <v>910.72782426207448</v>
      </c>
      <c r="X71" s="11">
        <f>IF(Components!Y71&gt;0,PPMT(EarningsRate,1,Components!$K71,0,-Components!Y71*((1+InflationRate)^Components!$K71),0),W71)</f>
        <v>910.72782426207448</v>
      </c>
      <c r="Y71" s="11">
        <f>IF(Components!Z71&gt;0,PPMT(EarningsRate,1,Components!$K71,0,-Components!Z71*((1+InflationRate)^Components!$K71),0),X71)</f>
        <v>910.72782426207448</v>
      </c>
      <c r="Z71" s="11">
        <f>IF(Components!AA71&gt;0,PPMT(EarningsRate,1,Components!$K71,0,-Components!AA71*((1+InflationRate)^Components!$K71),0),Y71)</f>
        <v>910.72782426207448</v>
      </c>
      <c r="AA71" s="11">
        <f>IF(Components!AB71&gt;0,PPMT(EarningsRate,1,Components!$K71,0,-Components!AB71*((1+InflationRate)^Components!$K71),0),Z71)</f>
        <v>910.72782426207448</v>
      </c>
      <c r="AB71" s="11">
        <f>IF(Components!AC71&gt;0,PPMT(EarningsRate,1,Components!$K71,0,-Components!AC71*((1+InflationRate)^Components!$K71),0),AA71)</f>
        <v>910.72782426207448</v>
      </c>
      <c r="AC71" s="11">
        <f>IF(Components!AD71&gt;0,PPMT(EarningsRate,1,Components!$K71,0,-Components!AD71*((1+InflationRate)^Components!$K71),0),AB71)</f>
        <v>910.72782426207448</v>
      </c>
      <c r="AD71" s="11">
        <f>IF(Components!AE71&gt;0,PPMT(EarningsRate,1,Components!$K71,0,-Components!AE71*((1+InflationRate)^Components!$K71),0),AC71)</f>
        <v>910.72782426207448</v>
      </c>
      <c r="AE71" s="11">
        <f>IF(Components!AF71&gt;0,PPMT(EarningsRate,1,Components!$K71,0,-Components!AF71*((1+InflationRate)^Components!$K71),0),AD71)</f>
        <v>910.72782426207448</v>
      </c>
      <c r="AF71" s="11">
        <f>IF(Components!AG71&gt;0,PPMT(EarningsRate,1,Components!$K71,0,-Components!AG71*((1+InflationRate)^Components!$K71),0),AE71)</f>
        <v>910.72782426207448</v>
      </c>
      <c r="AG71" s="11">
        <f>IF(Components!AH71&gt;0,PPMT(EarningsRate,1,Components!$K71,0,-Components!AH71*((1+InflationRate)^Components!$K71),0),AF71)</f>
        <v>910.72782426207448</v>
      </c>
      <c r="AH71" s="11">
        <f>IF(Components!AI71&gt;0,PPMT(EarningsRate,1,Components!$K71,0,-Components!AI71*((1+InflationRate)^Components!$K71),0),AG71)</f>
        <v>1525.8947018605779</v>
      </c>
      <c r="AI71" s="11">
        <f>IF(Components!AJ71&gt;0,PPMT(EarningsRate,1,Components!$K71,0,-Components!AJ71*((1+InflationRate)^Components!$K71),0),AH71)</f>
        <v>1525.8947018605779</v>
      </c>
      <c r="AJ71" s="11">
        <f>IF(Components!AK71&gt;0,PPMT(EarningsRate,1,Components!$K71,0,-Components!AK71*((1+InflationRate)^Components!$K71),0),AI71)</f>
        <v>1525.8947018605779</v>
      </c>
      <c r="AK71" s="11">
        <f>IF(Components!AL71&gt;0,PPMT(EarningsRate,1,Components!$K71,0,-Components!AL71*((1+InflationRate)^Components!$K71),0),AJ71)</f>
        <v>1525.8947018605779</v>
      </c>
      <c r="AL71" s="11">
        <f>IF(Components!AM71&gt;0,PPMT(EarningsRate,1,Components!$K71,0,-Components!AM71*((1+InflationRate)^Components!$K71),0),AK71)</f>
        <v>1525.8947018605779</v>
      </c>
      <c r="AM71" s="11">
        <f>IF(Components!AN71&gt;0,PPMT(EarningsRate,1,Components!$K71,0,-Components!AN71*((1+InflationRate)^Components!$K71),0),AL71)</f>
        <v>1525.8947018605779</v>
      </c>
      <c r="AN71" s="11">
        <f>IF(Components!AO71&gt;0,PPMT(EarningsRate,1,Components!$K71,0,-Components!AO71*((1+InflationRate)^Components!$K71),0),AM71)</f>
        <v>1525.8947018605779</v>
      </c>
      <c r="AO71" s="11">
        <f>IF(Components!AP71&gt;0,PPMT(EarningsRate,1,Components!$K71,0,-Components!AP71*((1+InflationRate)^Components!$K71),0),AN71)</f>
        <v>1525.8947018605779</v>
      </c>
      <c r="AP71" s="214"/>
      <c r="AQ71" s="11">
        <f t="shared" si="2"/>
        <v>30216.914234196647</v>
      </c>
    </row>
    <row r="72" spans="1:43" s="1" customFormat="1">
      <c r="A72" s="220" t="str">
        <f>Components!B72</f>
        <v>Pools</v>
      </c>
      <c r="B72" s="220" t="str">
        <f>Components!C72</f>
        <v>Condensing Coil Pool</v>
      </c>
      <c r="C72" s="211"/>
      <c r="D72" s="211"/>
      <c r="E72" s="211"/>
      <c r="F72" s="88"/>
      <c r="G72" s="212"/>
      <c r="H72" s="212"/>
      <c r="I72" s="212"/>
      <c r="J72" s="211"/>
      <c r="K72" s="11">
        <f>IF('FF Balance'!H72&gt;=0,PPMT(EarningsRate,1,Components!K72,0,-'FF Balance'!G72,0),0)</f>
        <v>452.78401122728303</v>
      </c>
      <c r="L72" s="11">
        <f>IF(Components!M72&gt;0,PPMT(EarningsRate,1,Components!$K72,0,-Components!M72*((1+InflationRate)^Components!$K72),0),K72)</f>
        <v>452.78401122728303</v>
      </c>
      <c r="M72" s="11">
        <f>IF(Components!N72&gt;0,PPMT(EarningsRate,1,Components!$K72,0,-Components!N72*((1+InflationRate)^Components!$K72),0),L72)</f>
        <v>452.78401122728303</v>
      </c>
      <c r="N72" s="11">
        <f>IF(Components!O72&gt;0,PPMT(EarningsRate,1,Components!$K72,0,-Components!O72*((1+InflationRate)^Components!$K72),0),M72)</f>
        <v>452.78401122728303</v>
      </c>
      <c r="O72" s="11">
        <f>IF(Components!P72&gt;0,PPMT(EarningsRate,1,Components!$K72,0,-Components!P72*((1+InflationRate)^Components!$K72),0),N72)</f>
        <v>452.78401122728303</v>
      </c>
      <c r="P72" s="11">
        <f>IF(Components!Q72&gt;0,PPMT(EarningsRate,1,Components!$K72,0,-Components!Q72*((1+InflationRate)^Components!$K72),0),O72)</f>
        <v>452.78401122728303</v>
      </c>
      <c r="Q72" s="11">
        <f>IF(Components!R72&gt;0,PPMT(EarningsRate,1,Components!$K72,0,-Components!R72*((1+InflationRate)^Components!$K72),0),P72)</f>
        <v>452.78401122728303</v>
      </c>
      <c r="R72" s="11">
        <f>IF(Components!S72&gt;0,PPMT(EarningsRate,1,Components!$K72,0,-Components!S72*((1+InflationRate)^Components!$K72),0),Q72)</f>
        <v>452.78401122728303</v>
      </c>
      <c r="S72" s="11">
        <f>IF(Components!T72&gt;0,PPMT(EarningsRate,1,Components!$K72,0,-Components!T72*((1+InflationRate)^Components!$K72),0),R72)</f>
        <v>758.57116379290119</v>
      </c>
      <c r="T72" s="11">
        <f>IF(Components!U72&gt;0,PPMT(EarningsRate,1,Components!$K72,0,-Components!U72*((1+InflationRate)^Components!$K72),0),S72)</f>
        <v>758.57116379290119</v>
      </c>
      <c r="U72" s="11">
        <f>IF(Components!V72&gt;0,PPMT(EarningsRate,1,Components!$K72,0,-Components!V72*((1+InflationRate)^Components!$K72),0),T72)</f>
        <v>758.57116379290119</v>
      </c>
      <c r="V72" s="11">
        <f>IF(Components!W72&gt;0,PPMT(EarningsRate,1,Components!$K72,0,-Components!W72*((1+InflationRate)^Components!$K72),0),U72)</f>
        <v>758.57116379290119</v>
      </c>
      <c r="W72" s="11">
        <f>IF(Components!X72&gt;0,PPMT(EarningsRate,1,Components!$K72,0,-Components!X72*((1+InflationRate)^Components!$K72),0),V72)</f>
        <v>758.57116379290119</v>
      </c>
      <c r="X72" s="11">
        <f>IF(Components!Y72&gt;0,PPMT(EarningsRate,1,Components!$K72,0,-Components!Y72*((1+InflationRate)^Components!$K72),0),W72)</f>
        <v>758.57116379290119</v>
      </c>
      <c r="Y72" s="11">
        <f>IF(Components!Z72&gt;0,PPMT(EarningsRate,1,Components!$K72,0,-Components!Z72*((1+InflationRate)^Components!$K72),0),X72)</f>
        <v>758.57116379290119</v>
      </c>
      <c r="Z72" s="11">
        <f>IF(Components!AA72&gt;0,PPMT(EarningsRate,1,Components!$K72,0,-Components!AA72*((1+InflationRate)^Components!$K72),0),Y72)</f>
        <v>758.57116379290119</v>
      </c>
      <c r="AA72" s="11">
        <f>IF(Components!AB72&gt;0,PPMT(EarningsRate,1,Components!$K72,0,-Components!AB72*((1+InflationRate)^Components!$K72),0),Z72)</f>
        <v>758.57116379290119</v>
      </c>
      <c r="AB72" s="11">
        <f>IF(Components!AC72&gt;0,PPMT(EarningsRate,1,Components!$K72,0,-Components!AC72*((1+InflationRate)^Components!$K72),0),AA72)</f>
        <v>758.57116379290119</v>
      </c>
      <c r="AC72" s="11">
        <f>IF(Components!AD72&gt;0,PPMT(EarningsRate,1,Components!$K72,0,-Components!AD72*((1+InflationRate)^Components!$K72),0),AB72)</f>
        <v>758.57116379290119</v>
      </c>
      <c r="AD72" s="11">
        <f>IF(Components!AE72&gt;0,PPMT(EarningsRate,1,Components!$K72,0,-Components!AE72*((1+InflationRate)^Components!$K72),0),AC72)</f>
        <v>758.57116379290119</v>
      </c>
      <c r="AE72" s="11">
        <f>IF(Components!AF72&gt;0,PPMT(EarningsRate,1,Components!$K72,0,-Components!AF72*((1+InflationRate)^Components!$K72),0),AD72)</f>
        <v>758.57116379290119</v>
      </c>
      <c r="AF72" s="11">
        <f>IF(Components!AG72&gt;0,PPMT(EarningsRate,1,Components!$K72,0,-Components!AG72*((1+InflationRate)^Components!$K72),0),AE72)</f>
        <v>758.57116379290119</v>
      </c>
      <c r="AG72" s="11">
        <f>IF(Components!AH72&gt;0,PPMT(EarningsRate,1,Components!$K72,0,-Components!AH72*((1+InflationRate)^Components!$K72),0),AF72)</f>
        <v>758.57116379290119</v>
      </c>
      <c r="AH72" s="11">
        <f>IF(Components!AI72&gt;0,PPMT(EarningsRate,1,Components!$K72,0,-Components!AI72*((1+InflationRate)^Components!$K72),0),AG72)</f>
        <v>1270.9216886470645</v>
      </c>
      <c r="AI72" s="11">
        <f>IF(Components!AJ72&gt;0,PPMT(EarningsRate,1,Components!$K72,0,-Components!AJ72*((1+InflationRate)^Components!$K72),0),AH72)</f>
        <v>1270.9216886470645</v>
      </c>
      <c r="AJ72" s="11">
        <f>IF(Components!AK72&gt;0,PPMT(EarningsRate,1,Components!$K72,0,-Components!AK72*((1+InflationRate)^Components!$K72),0),AI72)</f>
        <v>1270.9216886470645</v>
      </c>
      <c r="AK72" s="11">
        <f>IF(Components!AL72&gt;0,PPMT(EarningsRate,1,Components!$K72,0,-Components!AL72*((1+InflationRate)^Components!$K72),0),AJ72)</f>
        <v>1270.9216886470645</v>
      </c>
      <c r="AL72" s="11">
        <f>IF(Components!AM72&gt;0,PPMT(EarningsRate,1,Components!$K72,0,-Components!AM72*((1+InflationRate)^Components!$K72),0),AK72)</f>
        <v>1270.9216886470645</v>
      </c>
      <c r="AM72" s="11">
        <f>IF(Components!AN72&gt;0,PPMT(EarningsRate,1,Components!$K72,0,-Components!AN72*((1+InflationRate)^Components!$K72),0),AL72)</f>
        <v>1270.9216886470645</v>
      </c>
      <c r="AN72" s="11">
        <f>IF(Components!AO72&gt;0,PPMT(EarningsRate,1,Components!$K72,0,-Components!AO72*((1+InflationRate)^Components!$K72),0),AM72)</f>
        <v>1270.9216886470645</v>
      </c>
      <c r="AO72" s="11">
        <f>IF(Components!AP72&gt;0,PPMT(EarningsRate,1,Components!$K72,0,-Components!AP72*((1+InflationRate)^Components!$K72),0),AN72)</f>
        <v>1270.9216886470645</v>
      </c>
      <c r="AP72" s="214"/>
      <c r="AQ72" s="11">
        <f t="shared" si="2"/>
        <v>25168.213155888301</v>
      </c>
    </row>
    <row r="73" spans="1:43" s="1" customFormat="1">
      <c r="A73" s="220" t="str">
        <f>Components!B73</f>
        <v>Pools</v>
      </c>
      <c r="B73" s="220" t="str">
        <f>Components!C73</f>
        <v>Deck, indoor pool, multi-layered surface</v>
      </c>
      <c r="C73" s="211"/>
      <c r="D73" s="211"/>
      <c r="E73" s="211"/>
      <c r="F73" s="88"/>
      <c r="G73" s="212"/>
      <c r="H73" s="212"/>
      <c r="I73" s="212"/>
      <c r="J73" s="211"/>
      <c r="K73" s="11">
        <f>IF('FF Balance'!H73&gt;=0,PPMT(EarningsRate,1,Components!K73,0,-'FF Balance'!G73,0),0)</f>
        <v>3533.2195964671459</v>
      </c>
      <c r="L73" s="11">
        <f>IF(Components!M73&gt;0,PPMT(EarningsRate,1,Components!$K73,0,-Components!M73*((1+InflationRate)^Components!$K73),0),K73)</f>
        <v>3533.2195964671459</v>
      </c>
      <c r="M73" s="11">
        <f>IF(Components!N73&gt;0,PPMT(EarningsRate,1,Components!$K73,0,-Components!N73*((1+InflationRate)^Components!$K73),0),L73)</f>
        <v>3533.2195964671459</v>
      </c>
      <c r="N73" s="11">
        <f>IF(Components!O73&gt;0,PPMT(EarningsRate,1,Components!$K73,0,-Components!O73*((1+InflationRate)^Components!$K73),0),M73)</f>
        <v>3533.2195964671459</v>
      </c>
      <c r="O73" s="11">
        <f>IF(Components!P73&gt;0,PPMT(EarningsRate,1,Components!$K73,0,-Components!P73*((1+InflationRate)^Components!$K73),0),N73)</f>
        <v>3533.2195964671459</v>
      </c>
      <c r="P73" s="11">
        <f>IF(Components!Q73&gt;0,PPMT(EarningsRate,1,Components!$K73,0,-Components!Q73*((1+InflationRate)^Components!$K73),0),O73)</f>
        <v>3533.2195964671459</v>
      </c>
      <c r="Q73" s="11">
        <f>IF(Components!R73&gt;0,PPMT(EarningsRate,1,Components!$K73,0,-Components!R73*((1+InflationRate)^Components!$K73),0),P73)</f>
        <v>3533.2195964671459</v>
      </c>
      <c r="R73" s="11">
        <f>IF(Components!S73&gt;0,PPMT(EarningsRate,1,Components!$K73,0,-Components!S73*((1+InflationRate)^Components!$K73),0),Q73)</f>
        <v>3533.2195964671459</v>
      </c>
      <c r="S73" s="11">
        <f>IF(Components!T73&gt;0,PPMT(EarningsRate,1,Components!$K73,0,-Components!T73*((1+InflationRate)^Components!$K73),0),R73)</f>
        <v>3533.2195964671459</v>
      </c>
      <c r="T73" s="11">
        <f>IF(Components!U73&gt;0,PPMT(EarningsRate,1,Components!$K73,0,-Components!U73*((1+InflationRate)^Components!$K73),0),S73)</f>
        <v>3533.2195964671459</v>
      </c>
      <c r="U73" s="11">
        <f>IF(Components!V73&gt;0,PPMT(EarningsRate,1,Components!$K73,0,-Components!V73*((1+InflationRate)^Components!$K73),0),T73)</f>
        <v>3533.2195964671459</v>
      </c>
      <c r="V73" s="11">
        <f>IF(Components!W73&gt;0,PPMT(EarningsRate,1,Components!$K73,0,-Components!W73*((1+InflationRate)^Components!$K73),0),U73)</f>
        <v>3533.2195964671459</v>
      </c>
      <c r="W73" s="11">
        <f>IF(Components!X73&gt;0,PPMT(EarningsRate,1,Components!$K73,0,-Components!X73*((1+InflationRate)^Components!$K73),0),V73)</f>
        <v>3533.2195964671459</v>
      </c>
      <c r="X73" s="11">
        <f>IF(Components!Y73&gt;0,PPMT(EarningsRate,1,Components!$K73,0,-Components!Y73*((1+InflationRate)^Components!$K73),0),W73)</f>
        <v>7030.3610052296053</v>
      </c>
      <c r="Y73" s="11">
        <f>IF(Components!Z73&gt;0,PPMT(EarningsRate,1,Components!$K73,0,-Components!Z73*((1+InflationRate)^Components!$K73),0),X73)</f>
        <v>7030.3610052296053</v>
      </c>
      <c r="Z73" s="11">
        <f>IF(Components!AA73&gt;0,PPMT(EarningsRate,1,Components!$K73,0,-Components!AA73*((1+InflationRate)^Components!$K73),0),Y73)</f>
        <v>7030.3610052296053</v>
      </c>
      <c r="AA73" s="11">
        <f>IF(Components!AB73&gt;0,PPMT(EarningsRate,1,Components!$K73,0,-Components!AB73*((1+InflationRate)^Components!$K73),0),Z73)</f>
        <v>7030.3610052296053</v>
      </c>
      <c r="AB73" s="11">
        <f>IF(Components!AC73&gt;0,PPMT(EarningsRate,1,Components!$K73,0,-Components!AC73*((1+InflationRate)^Components!$K73),0),AA73)</f>
        <v>7030.3610052296053</v>
      </c>
      <c r="AC73" s="11">
        <f>IF(Components!AD73&gt;0,PPMT(EarningsRate,1,Components!$K73,0,-Components!AD73*((1+InflationRate)^Components!$K73),0),AB73)</f>
        <v>7030.3610052296053</v>
      </c>
      <c r="AD73" s="11">
        <f>IF(Components!AE73&gt;0,PPMT(EarningsRate,1,Components!$K73,0,-Components!AE73*((1+InflationRate)^Components!$K73),0),AC73)</f>
        <v>7030.3610052296053</v>
      </c>
      <c r="AE73" s="11">
        <f>IF(Components!AF73&gt;0,PPMT(EarningsRate,1,Components!$K73,0,-Components!AF73*((1+InflationRate)^Components!$K73),0),AD73)</f>
        <v>7030.3610052296053</v>
      </c>
      <c r="AF73" s="11">
        <f>IF(Components!AG73&gt;0,PPMT(EarningsRate,1,Components!$K73,0,-Components!AG73*((1+InflationRate)^Components!$K73),0),AE73)</f>
        <v>7030.3610052296053</v>
      </c>
      <c r="AG73" s="11">
        <f>IF(Components!AH73&gt;0,PPMT(EarningsRate,1,Components!$K73,0,-Components!AH73*((1+InflationRate)^Components!$K73),0),AF73)</f>
        <v>7030.3610052296053</v>
      </c>
      <c r="AH73" s="11">
        <f>IF(Components!AI73&gt;0,PPMT(EarningsRate,1,Components!$K73,0,-Components!AI73*((1+InflationRate)^Components!$K73),0),AG73)</f>
        <v>7030.3610052296053</v>
      </c>
      <c r="AI73" s="11">
        <f>IF(Components!AJ73&gt;0,PPMT(EarningsRate,1,Components!$K73,0,-Components!AJ73*((1+InflationRate)^Components!$K73),0),AH73)</f>
        <v>7030.3610052296053</v>
      </c>
      <c r="AJ73" s="11">
        <f>IF(Components!AK73&gt;0,PPMT(EarningsRate,1,Components!$K73,0,-Components!AK73*((1+InflationRate)^Components!$K73),0),AI73)</f>
        <v>7030.3610052296053</v>
      </c>
      <c r="AK73" s="11">
        <f>IF(Components!AL73&gt;0,PPMT(EarningsRate,1,Components!$K73,0,-Components!AL73*((1+InflationRate)^Components!$K73),0),AJ73)</f>
        <v>7030.3610052296053</v>
      </c>
      <c r="AL73" s="11">
        <f>IF(Components!AM73&gt;0,PPMT(EarningsRate,1,Components!$K73,0,-Components!AM73*((1+InflationRate)^Components!$K73),0),AK73)</f>
        <v>7030.3610052296053</v>
      </c>
      <c r="AM73" s="11">
        <f>IF(Components!AN73&gt;0,PPMT(EarningsRate,1,Components!$K73,0,-Components!AN73*((1+InflationRate)^Components!$K73),0),AL73)</f>
        <v>7030.3610052296053</v>
      </c>
      <c r="AN73" s="11">
        <f>IF(Components!AO73&gt;0,PPMT(EarningsRate,1,Components!$K73,0,-Components!AO73*((1+InflationRate)^Components!$K73),0),AM73)</f>
        <v>7030.3610052296053</v>
      </c>
      <c r="AO73" s="11">
        <f>IF(Components!AP73&gt;0,PPMT(EarningsRate,1,Components!$K73,0,-Components!AP73*((1+InflationRate)^Components!$K73),0),AN73)</f>
        <v>7030.3610052296053</v>
      </c>
      <c r="AP73" s="214"/>
      <c r="AQ73" s="11">
        <f t="shared" si="2"/>
        <v>172478.35294820578</v>
      </c>
    </row>
    <row r="74" spans="1:43" s="1" customFormat="1">
      <c r="A74" s="220" t="str">
        <f>Components!B74</f>
        <v>Pools</v>
      </c>
      <c r="B74" s="220" t="str">
        <f>Components!C74</f>
        <v>Deck, outdoor pool, colored concrete</v>
      </c>
      <c r="C74" s="211"/>
      <c r="D74" s="211"/>
      <c r="E74" s="211"/>
      <c r="F74" s="88"/>
      <c r="G74" s="212"/>
      <c r="H74" s="212"/>
      <c r="I74" s="212"/>
      <c r="J74" s="211"/>
      <c r="K74" s="11">
        <f>IF('FF Balance'!H74&gt;=0,PPMT(EarningsRate,1,Components!K74,0,-'FF Balance'!G74,0),0)</f>
        <v>841.9859358052388</v>
      </c>
      <c r="L74" s="11">
        <f>IF(Components!M74&gt;0,PPMT(EarningsRate,1,Components!$K74,0,-Components!M74*((1+InflationRate)^Components!$K74),0),K74)</f>
        <v>841.9859358052388</v>
      </c>
      <c r="M74" s="11">
        <f>IF(Components!N74&gt;0,PPMT(EarningsRate,1,Components!$K74,0,-Components!N74*((1+InflationRate)^Components!$K74),0),L74)</f>
        <v>841.9859358052388</v>
      </c>
      <c r="N74" s="11">
        <f>IF(Components!O74&gt;0,PPMT(EarningsRate,1,Components!$K74,0,-Components!O74*((1+InflationRate)^Components!$K74),0),M74)</f>
        <v>841.9859358052388</v>
      </c>
      <c r="O74" s="11">
        <f>IF(Components!P74&gt;0,PPMT(EarningsRate,1,Components!$K74,0,-Components!P74*((1+InflationRate)^Components!$K74),0),N74)</f>
        <v>841.9859358052388</v>
      </c>
      <c r="P74" s="11">
        <f>IF(Components!Q74&gt;0,PPMT(EarningsRate,1,Components!$K74,0,-Components!Q74*((1+InflationRate)^Components!$K74),0),O74)</f>
        <v>841.9859358052388</v>
      </c>
      <c r="Q74" s="11">
        <f>IF(Components!R74&gt;0,PPMT(EarningsRate,1,Components!$K74,0,-Components!R74*((1+InflationRate)^Components!$K74),0),P74)</f>
        <v>841.9859358052388</v>
      </c>
      <c r="R74" s="11">
        <f>IF(Components!S74&gt;0,PPMT(EarningsRate,1,Components!$K74,0,-Components!S74*((1+InflationRate)^Components!$K74),0),Q74)</f>
        <v>841.9859358052388</v>
      </c>
      <c r="S74" s="11">
        <f>IF(Components!T74&gt;0,PPMT(EarningsRate,1,Components!$K74,0,-Components!T74*((1+InflationRate)^Components!$K74),0),R74)</f>
        <v>841.9859358052388</v>
      </c>
      <c r="T74" s="11">
        <f>IF(Components!U74&gt;0,PPMT(EarningsRate,1,Components!$K74,0,-Components!U74*((1+InflationRate)^Components!$K74),0),S74)</f>
        <v>841.9859358052388</v>
      </c>
      <c r="U74" s="11">
        <f>IF(Components!V74&gt;0,PPMT(EarningsRate,1,Components!$K74,0,-Components!V74*((1+InflationRate)^Components!$K74),0),T74)</f>
        <v>841.9859358052388</v>
      </c>
      <c r="V74" s="11">
        <f>IF(Components!W74&gt;0,PPMT(EarningsRate,1,Components!$K74,0,-Components!W74*((1+InflationRate)^Components!$K74),0),U74)</f>
        <v>841.9859358052388</v>
      </c>
      <c r="W74" s="11">
        <f>IF(Components!X74&gt;0,PPMT(EarningsRate,1,Components!$K74,0,-Components!X74*((1+InflationRate)^Components!$K74),0),V74)</f>
        <v>841.9859358052388</v>
      </c>
      <c r="X74" s="11">
        <f>IF(Components!Y74&gt;0,PPMT(EarningsRate,1,Components!$K74,0,-Components!Y74*((1+InflationRate)^Components!$K74),0),W74)</f>
        <v>1675.3742382601297</v>
      </c>
      <c r="Y74" s="11">
        <f>IF(Components!Z74&gt;0,PPMT(EarningsRate,1,Components!$K74,0,-Components!Z74*((1+InflationRate)^Components!$K74),0),X74)</f>
        <v>1675.3742382601297</v>
      </c>
      <c r="Z74" s="11">
        <f>IF(Components!AA74&gt;0,PPMT(EarningsRate,1,Components!$K74,0,-Components!AA74*((1+InflationRate)^Components!$K74),0),Y74)</f>
        <v>1675.3742382601297</v>
      </c>
      <c r="AA74" s="11">
        <f>IF(Components!AB74&gt;0,PPMT(EarningsRate,1,Components!$K74,0,-Components!AB74*((1+InflationRate)^Components!$K74),0),Z74)</f>
        <v>1675.3742382601297</v>
      </c>
      <c r="AB74" s="11">
        <f>IF(Components!AC74&gt;0,PPMT(EarningsRate,1,Components!$K74,0,-Components!AC74*((1+InflationRate)^Components!$K74),0),AA74)</f>
        <v>1675.3742382601297</v>
      </c>
      <c r="AC74" s="11">
        <f>IF(Components!AD74&gt;0,PPMT(EarningsRate,1,Components!$K74,0,-Components!AD74*((1+InflationRate)^Components!$K74),0),AB74)</f>
        <v>1675.3742382601297</v>
      </c>
      <c r="AD74" s="11">
        <f>IF(Components!AE74&gt;0,PPMT(EarningsRate,1,Components!$K74,0,-Components!AE74*((1+InflationRate)^Components!$K74),0),AC74)</f>
        <v>1675.3742382601297</v>
      </c>
      <c r="AE74" s="11">
        <f>IF(Components!AF74&gt;0,PPMT(EarningsRate,1,Components!$K74,0,-Components!AF74*((1+InflationRate)^Components!$K74),0),AD74)</f>
        <v>1675.3742382601297</v>
      </c>
      <c r="AF74" s="11">
        <f>IF(Components!AG74&gt;0,PPMT(EarningsRate,1,Components!$K74,0,-Components!AG74*((1+InflationRate)^Components!$K74),0),AE74)</f>
        <v>1675.3742382601297</v>
      </c>
      <c r="AG74" s="11">
        <f>IF(Components!AH74&gt;0,PPMT(EarningsRate,1,Components!$K74,0,-Components!AH74*((1+InflationRate)^Components!$K74),0),AF74)</f>
        <v>1675.3742382601297</v>
      </c>
      <c r="AH74" s="11">
        <f>IF(Components!AI74&gt;0,PPMT(EarningsRate,1,Components!$K74,0,-Components!AI74*((1+InflationRate)^Components!$K74),0),AG74)</f>
        <v>1675.3742382601297</v>
      </c>
      <c r="AI74" s="11">
        <f>IF(Components!AJ74&gt;0,PPMT(EarningsRate,1,Components!$K74,0,-Components!AJ74*((1+InflationRate)^Components!$K74),0),AH74)</f>
        <v>1675.3742382601297</v>
      </c>
      <c r="AJ74" s="11">
        <f>IF(Components!AK74&gt;0,PPMT(EarningsRate,1,Components!$K74,0,-Components!AK74*((1+InflationRate)^Components!$K74),0),AI74)</f>
        <v>1675.3742382601297</v>
      </c>
      <c r="AK74" s="11">
        <f>IF(Components!AL74&gt;0,PPMT(EarningsRate,1,Components!$K74,0,-Components!AL74*((1+InflationRate)^Components!$K74),0),AJ74)</f>
        <v>1675.3742382601297</v>
      </c>
      <c r="AL74" s="11">
        <f>IF(Components!AM74&gt;0,PPMT(EarningsRate,1,Components!$K74,0,-Components!AM74*((1+InflationRate)^Components!$K74),0),AK74)</f>
        <v>1675.3742382601297</v>
      </c>
      <c r="AM74" s="11">
        <f>IF(Components!AN74&gt;0,PPMT(EarningsRate,1,Components!$K74,0,-Components!AN74*((1+InflationRate)^Components!$K74),0),AL74)</f>
        <v>1675.3742382601297</v>
      </c>
      <c r="AN74" s="11">
        <f>IF(Components!AO74&gt;0,PPMT(EarningsRate,1,Components!$K74,0,-Components!AO74*((1+InflationRate)^Components!$K74),0),AM74)</f>
        <v>1675.3742382601297</v>
      </c>
      <c r="AO74" s="11">
        <f>IF(Components!AP74&gt;0,PPMT(EarningsRate,1,Components!$K74,0,-Components!AP74*((1+InflationRate)^Components!$K74),0),AN74)</f>
        <v>1675.3742382601297</v>
      </c>
      <c r="AP74" s="214"/>
      <c r="AQ74" s="11">
        <f t="shared" si="2"/>
        <v>41102.553554150429</v>
      </c>
    </row>
    <row r="75" spans="1:43" s="1" customFormat="1">
      <c r="A75" s="220" t="str">
        <f>Components!B75</f>
        <v>Pools</v>
      </c>
      <c r="B75" s="220" t="str">
        <f>Components!C75</f>
        <v>Evaporative Coil Pool</v>
      </c>
      <c r="C75" s="211"/>
      <c r="D75" s="211"/>
      <c r="E75" s="211"/>
      <c r="F75" s="88"/>
      <c r="G75" s="212"/>
      <c r="H75" s="212"/>
      <c r="I75" s="212"/>
      <c r="J75" s="211"/>
      <c r="K75" s="11">
        <f>IF('FF Balance'!H75&gt;=0,PPMT(EarningsRate,1,Components!K75,0,-'FF Balance'!G75,0),0)</f>
        <v>619.04019184275296</v>
      </c>
      <c r="L75" s="11">
        <f>IF(Components!M75&gt;0,PPMT(EarningsRate,1,Components!$K75,0,-Components!M75*((1+InflationRate)^Components!$K75),0),K75)</f>
        <v>619.04019184275296</v>
      </c>
      <c r="M75" s="11">
        <f>IF(Components!N75&gt;0,PPMT(EarningsRate,1,Components!$K75,0,-Components!N75*((1+InflationRate)^Components!$K75),0),L75)</f>
        <v>619.04019184275296</v>
      </c>
      <c r="N75" s="11">
        <f>IF(Components!O75&gt;0,PPMT(EarningsRate,1,Components!$K75,0,-Components!O75*((1+InflationRate)^Components!$K75),0),M75)</f>
        <v>619.04019184275296</v>
      </c>
      <c r="O75" s="11">
        <f>IF(Components!P75&gt;0,PPMT(EarningsRate,1,Components!$K75,0,-Components!P75*((1+InflationRate)^Components!$K75),0),N75)</f>
        <v>619.04019184275296</v>
      </c>
      <c r="P75" s="11">
        <f>IF(Components!Q75&gt;0,PPMT(EarningsRate,1,Components!$K75,0,-Components!Q75*((1+InflationRate)^Components!$K75),0),O75)</f>
        <v>619.04019184275296</v>
      </c>
      <c r="Q75" s="11">
        <f>IF(Components!R75&gt;0,PPMT(EarningsRate,1,Components!$K75,0,-Components!R75*((1+InflationRate)^Components!$K75),0),P75)</f>
        <v>619.04019184275296</v>
      </c>
      <c r="R75" s="11">
        <f>IF(Components!S75&gt;0,PPMT(EarningsRate,1,Components!$K75,0,-Components!S75*((1+InflationRate)^Components!$K75),0),Q75)</f>
        <v>619.04019184275296</v>
      </c>
      <c r="S75" s="11">
        <f>IF(Components!T75&gt;0,PPMT(EarningsRate,1,Components!$K75,0,-Components!T75*((1+InflationRate)^Components!$K75),0),R75)</f>
        <v>1037.1082615923488</v>
      </c>
      <c r="T75" s="11">
        <f>IF(Components!U75&gt;0,PPMT(EarningsRate,1,Components!$K75,0,-Components!U75*((1+InflationRate)^Components!$K75),0),S75)</f>
        <v>1037.1082615923488</v>
      </c>
      <c r="U75" s="11">
        <f>IF(Components!V75&gt;0,PPMT(EarningsRate,1,Components!$K75,0,-Components!V75*((1+InflationRate)^Components!$K75),0),T75)</f>
        <v>1037.1082615923488</v>
      </c>
      <c r="V75" s="11">
        <f>IF(Components!W75&gt;0,PPMT(EarningsRate,1,Components!$K75,0,-Components!W75*((1+InflationRate)^Components!$K75),0),U75)</f>
        <v>1037.1082615923488</v>
      </c>
      <c r="W75" s="11">
        <f>IF(Components!X75&gt;0,PPMT(EarningsRate,1,Components!$K75,0,-Components!X75*((1+InflationRate)^Components!$K75),0),V75)</f>
        <v>1037.1082615923488</v>
      </c>
      <c r="X75" s="11">
        <f>IF(Components!Y75&gt;0,PPMT(EarningsRate,1,Components!$K75,0,-Components!Y75*((1+InflationRate)^Components!$K75),0),W75)</f>
        <v>1037.1082615923488</v>
      </c>
      <c r="Y75" s="11">
        <f>IF(Components!Z75&gt;0,PPMT(EarningsRate,1,Components!$K75,0,-Components!Z75*((1+InflationRate)^Components!$K75),0),X75)</f>
        <v>1037.1082615923488</v>
      </c>
      <c r="Z75" s="11">
        <f>IF(Components!AA75&gt;0,PPMT(EarningsRate,1,Components!$K75,0,-Components!AA75*((1+InflationRate)^Components!$K75),0),Y75)</f>
        <v>1037.1082615923488</v>
      </c>
      <c r="AA75" s="11">
        <f>IF(Components!AB75&gt;0,PPMT(EarningsRate,1,Components!$K75,0,-Components!AB75*((1+InflationRate)^Components!$K75),0),Z75)</f>
        <v>1037.1082615923488</v>
      </c>
      <c r="AB75" s="11">
        <f>IF(Components!AC75&gt;0,PPMT(EarningsRate,1,Components!$K75,0,-Components!AC75*((1+InflationRate)^Components!$K75),0),AA75)</f>
        <v>1037.1082615923488</v>
      </c>
      <c r="AC75" s="11">
        <f>IF(Components!AD75&gt;0,PPMT(EarningsRate,1,Components!$K75,0,-Components!AD75*((1+InflationRate)^Components!$K75),0),AB75)</f>
        <v>1037.1082615923488</v>
      </c>
      <c r="AD75" s="11">
        <f>IF(Components!AE75&gt;0,PPMT(EarningsRate,1,Components!$K75,0,-Components!AE75*((1+InflationRate)^Components!$K75),0),AC75)</f>
        <v>1037.1082615923488</v>
      </c>
      <c r="AE75" s="11">
        <f>IF(Components!AF75&gt;0,PPMT(EarningsRate,1,Components!$K75,0,-Components!AF75*((1+InflationRate)^Components!$K75),0),AD75)</f>
        <v>1037.1082615923488</v>
      </c>
      <c r="AF75" s="11">
        <f>IF(Components!AG75&gt;0,PPMT(EarningsRate,1,Components!$K75,0,-Components!AG75*((1+InflationRate)^Components!$K75),0),AE75)</f>
        <v>1037.1082615923488</v>
      </c>
      <c r="AG75" s="11">
        <f>IF(Components!AH75&gt;0,PPMT(EarningsRate,1,Components!$K75,0,-Components!AH75*((1+InflationRate)^Components!$K75),0),AF75)</f>
        <v>1037.1082615923488</v>
      </c>
      <c r="AH75" s="11">
        <f>IF(Components!AI75&gt;0,PPMT(EarningsRate,1,Components!$K75,0,-Components!AI75*((1+InflationRate)^Components!$K75),0),AG75)</f>
        <v>1737.5867433856411</v>
      </c>
      <c r="AI75" s="11">
        <f>IF(Components!AJ75&gt;0,PPMT(EarningsRate,1,Components!$K75,0,-Components!AJ75*((1+InflationRate)^Components!$K75),0),AH75)</f>
        <v>1737.5867433856411</v>
      </c>
      <c r="AJ75" s="11">
        <f>IF(Components!AK75&gt;0,PPMT(EarningsRate,1,Components!$K75,0,-Components!AK75*((1+InflationRate)^Components!$K75),0),AI75)</f>
        <v>1737.5867433856411</v>
      </c>
      <c r="AK75" s="11">
        <f>IF(Components!AL75&gt;0,PPMT(EarningsRate,1,Components!$K75,0,-Components!AL75*((1+InflationRate)^Components!$K75),0),AJ75)</f>
        <v>1737.5867433856411</v>
      </c>
      <c r="AL75" s="11">
        <f>IF(Components!AM75&gt;0,PPMT(EarningsRate,1,Components!$K75,0,-Components!AM75*((1+InflationRate)^Components!$K75),0),AK75)</f>
        <v>1737.5867433856411</v>
      </c>
      <c r="AM75" s="11">
        <f>IF(Components!AN75&gt;0,PPMT(EarningsRate,1,Components!$K75,0,-Components!AN75*((1+InflationRate)^Components!$K75),0),AL75)</f>
        <v>1737.5867433856411</v>
      </c>
      <c r="AN75" s="11">
        <f>IF(Components!AO75&gt;0,PPMT(EarningsRate,1,Components!$K75,0,-Components!AO75*((1+InflationRate)^Components!$K75),0),AM75)</f>
        <v>1737.5867433856411</v>
      </c>
      <c r="AO75" s="11">
        <f>IF(Components!AP75&gt;0,PPMT(EarningsRate,1,Components!$K75,0,-Components!AP75*((1+InflationRate)^Components!$K75),0),AN75)</f>
        <v>1737.5867433856411</v>
      </c>
      <c r="AP75" s="214"/>
      <c r="AQ75" s="11">
        <f t="shared" si="2"/>
        <v>34409.639505712366</v>
      </c>
    </row>
    <row r="76" spans="1:43" s="1" customFormat="1">
      <c r="A76" s="220" t="str">
        <f>Components!B76</f>
        <v>Pools</v>
      </c>
      <c r="B76" s="220" t="str">
        <f>Components!C76</f>
        <v>Fence Outdoor Pool (metal)</v>
      </c>
      <c r="C76" s="211"/>
      <c r="D76" s="211"/>
      <c r="E76" s="211"/>
      <c r="F76" s="88"/>
      <c r="G76" s="212"/>
      <c r="H76" s="212"/>
      <c r="I76" s="212"/>
      <c r="J76" s="211"/>
      <c r="K76" s="11">
        <f>IF('FF Balance'!H76&gt;=0,PPMT(EarningsRate,1,Components!K76,0,-'FF Balance'!G76,0),0)</f>
        <v>1451.1350310166074</v>
      </c>
      <c r="L76" s="11">
        <f>IF(Components!M76&gt;0,PPMT(EarningsRate,1,Components!$K76,0,-Components!M76*((1+InflationRate)^Components!$K76),0),K76)</f>
        <v>1451.1350310166074</v>
      </c>
      <c r="M76" s="11">
        <f>IF(Components!N76&gt;0,PPMT(EarningsRate,1,Components!$K76,0,-Components!N76*((1+InflationRate)^Components!$K76),0),L76)</f>
        <v>1451.1350310166074</v>
      </c>
      <c r="N76" s="11">
        <f>IF(Components!O76&gt;0,PPMT(EarningsRate,1,Components!$K76,0,-Components!O76*((1+InflationRate)^Components!$K76),0),M76)</f>
        <v>1451.1350310166074</v>
      </c>
      <c r="O76" s="11">
        <f>IF(Components!P76&gt;0,PPMT(EarningsRate,1,Components!$K76,0,-Components!P76*((1+InflationRate)^Components!$K76),0),N76)</f>
        <v>1451.1350310166074</v>
      </c>
      <c r="P76" s="11">
        <f>IF(Components!Q76&gt;0,PPMT(EarningsRate,1,Components!$K76,0,-Components!Q76*((1+InflationRate)^Components!$K76),0),O76)</f>
        <v>1451.1350310166074</v>
      </c>
      <c r="Q76" s="11">
        <f>IF(Components!R76&gt;0,PPMT(EarningsRate,1,Components!$K76,0,-Components!R76*((1+InflationRate)^Components!$K76),0),P76)</f>
        <v>1451.1350310166074</v>
      </c>
      <c r="R76" s="11">
        <f>IF(Components!S76&gt;0,PPMT(EarningsRate,1,Components!$K76,0,-Components!S76*((1+InflationRate)^Components!$K76),0),Q76)</f>
        <v>1451.1350310166074</v>
      </c>
      <c r="S76" s="11">
        <f>IF(Components!T76&gt;0,PPMT(EarningsRate,1,Components!$K76,0,-Components!T76*((1+InflationRate)^Components!$K76),0),R76)</f>
        <v>1451.1350310166074</v>
      </c>
      <c r="T76" s="11">
        <f>IF(Components!U76&gt;0,PPMT(EarningsRate,1,Components!$K76,0,-Components!U76*((1+InflationRate)^Components!$K76),0),S76)</f>
        <v>1451.1350310166074</v>
      </c>
      <c r="U76" s="11">
        <f>IF(Components!V76&gt;0,PPMT(EarningsRate,1,Components!$K76,0,-Components!V76*((1+InflationRate)^Components!$K76),0),T76)</f>
        <v>1451.1350310166074</v>
      </c>
      <c r="V76" s="11">
        <f>IF(Components!W76&gt;0,PPMT(EarningsRate,1,Components!$K76,0,-Components!W76*((1+InflationRate)^Components!$K76),0),U76)</f>
        <v>1451.1350310166074</v>
      </c>
      <c r="W76" s="11">
        <f>IF(Components!X76&gt;0,PPMT(EarningsRate,1,Components!$K76,0,-Components!X76*((1+InflationRate)^Components!$K76),0),V76)</f>
        <v>1451.1350310166074</v>
      </c>
      <c r="X76" s="11">
        <f>IF(Components!Y76&gt;0,PPMT(EarningsRate,1,Components!$K76,0,-Components!Y76*((1+InflationRate)^Components!$K76),0),W76)</f>
        <v>1451.1350310166074</v>
      </c>
      <c r="Y76" s="11">
        <f>IF(Components!Z76&gt;0,PPMT(EarningsRate,1,Components!$K76,0,-Components!Z76*((1+InflationRate)^Components!$K76),0),X76)</f>
        <v>2887.4523241020061</v>
      </c>
      <c r="Z76" s="11">
        <f>IF(Components!AA76&gt;0,PPMT(EarningsRate,1,Components!$K76,0,-Components!AA76*((1+InflationRate)^Components!$K76),0),Y76)</f>
        <v>2887.4523241020061</v>
      </c>
      <c r="AA76" s="11">
        <f>IF(Components!AB76&gt;0,PPMT(EarningsRate,1,Components!$K76,0,-Components!AB76*((1+InflationRate)^Components!$K76),0),Z76)</f>
        <v>2887.4523241020061</v>
      </c>
      <c r="AB76" s="11">
        <f>IF(Components!AC76&gt;0,PPMT(EarningsRate,1,Components!$K76,0,-Components!AC76*((1+InflationRate)^Components!$K76),0),AA76)</f>
        <v>2887.4523241020061</v>
      </c>
      <c r="AC76" s="11">
        <f>IF(Components!AD76&gt;0,PPMT(EarningsRate,1,Components!$K76,0,-Components!AD76*((1+InflationRate)^Components!$K76),0),AB76)</f>
        <v>2887.4523241020061</v>
      </c>
      <c r="AD76" s="11">
        <f>IF(Components!AE76&gt;0,PPMT(EarningsRate,1,Components!$K76,0,-Components!AE76*((1+InflationRate)^Components!$K76),0),AC76)</f>
        <v>2887.4523241020061</v>
      </c>
      <c r="AE76" s="11">
        <f>IF(Components!AF76&gt;0,PPMT(EarningsRate,1,Components!$K76,0,-Components!AF76*((1+InflationRate)^Components!$K76),0),AD76)</f>
        <v>2887.4523241020061</v>
      </c>
      <c r="AF76" s="11">
        <f>IF(Components!AG76&gt;0,PPMT(EarningsRate,1,Components!$K76,0,-Components!AG76*((1+InflationRate)^Components!$K76),0),AE76)</f>
        <v>2887.4523241020061</v>
      </c>
      <c r="AG76" s="11">
        <f>IF(Components!AH76&gt;0,PPMT(EarningsRate,1,Components!$K76,0,-Components!AH76*((1+InflationRate)^Components!$K76),0),AF76)</f>
        <v>2887.4523241020061</v>
      </c>
      <c r="AH76" s="11">
        <f>IF(Components!AI76&gt;0,PPMT(EarningsRate,1,Components!$K76,0,-Components!AI76*((1+InflationRate)^Components!$K76),0),AG76)</f>
        <v>2887.4523241020061</v>
      </c>
      <c r="AI76" s="11">
        <f>IF(Components!AJ76&gt;0,PPMT(EarningsRate,1,Components!$K76,0,-Components!AJ76*((1+InflationRate)^Components!$K76),0),AH76)</f>
        <v>2887.4523241020061</v>
      </c>
      <c r="AJ76" s="11">
        <f>IF(Components!AK76&gt;0,PPMT(EarningsRate,1,Components!$K76,0,-Components!AK76*((1+InflationRate)^Components!$K76),0),AI76)</f>
        <v>2887.4523241020061</v>
      </c>
      <c r="AK76" s="11">
        <f>IF(Components!AL76&gt;0,PPMT(EarningsRate,1,Components!$K76,0,-Components!AL76*((1+InflationRate)^Components!$K76),0),AJ76)</f>
        <v>2887.4523241020061</v>
      </c>
      <c r="AL76" s="11">
        <f>IF(Components!AM76&gt;0,PPMT(EarningsRate,1,Components!$K76,0,-Components!AM76*((1+InflationRate)^Components!$K76),0),AK76)</f>
        <v>2887.4523241020061</v>
      </c>
      <c r="AM76" s="11">
        <f>IF(Components!AN76&gt;0,PPMT(EarningsRate,1,Components!$K76,0,-Components!AN76*((1+InflationRate)^Components!$K76),0),AL76)</f>
        <v>2887.4523241020061</v>
      </c>
      <c r="AN76" s="11">
        <f>IF(Components!AO76&gt;0,PPMT(EarningsRate,1,Components!$K76,0,-Components!AO76*((1+InflationRate)^Components!$K76),0),AM76)</f>
        <v>2887.4523241020061</v>
      </c>
      <c r="AO76" s="11">
        <f>IF(Components!AP76&gt;0,PPMT(EarningsRate,1,Components!$K76,0,-Components!AP76*((1+InflationRate)^Components!$K76),0),AN76)</f>
        <v>2887.4523241020061</v>
      </c>
      <c r="AP76" s="214"/>
      <c r="AQ76" s="11">
        <f t="shared" si="2"/>
        <v>69402.58004396662</v>
      </c>
    </row>
    <row r="77" spans="1:43" s="1" customFormat="1">
      <c r="A77" s="220" t="str">
        <f>Components!B77</f>
        <v>Pools</v>
      </c>
      <c r="B77" s="220" t="str">
        <f>Components!C77</f>
        <v>Indoor Pool Lighting</v>
      </c>
      <c r="C77" s="211"/>
      <c r="D77" s="211"/>
      <c r="E77" s="211"/>
      <c r="F77" s="88"/>
      <c r="G77" s="212"/>
      <c r="H77" s="212"/>
      <c r="I77" s="212"/>
      <c r="J77" s="211"/>
      <c r="K77" s="11">
        <f>IF('FF Balance'!H77&gt;=0,PPMT(EarningsRate,1,Components!K77,0,-'FF Balance'!G77,0),0)</f>
        <v>670.63855836435255</v>
      </c>
      <c r="L77" s="11">
        <f>IF(Components!M77&gt;0,PPMT(EarningsRate,1,Components!$K77,0,-Components!M77*((1+InflationRate)^Components!$K77),0),K77)</f>
        <v>670.63855836435255</v>
      </c>
      <c r="M77" s="11">
        <f>IF(Components!N77&gt;0,PPMT(EarningsRate,1,Components!$K77,0,-Components!N77*((1+InflationRate)^Components!$K77),0),L77)</f>
        <v>670.63855836435255</v>
      </c>
      <c r="N77" s="11">
        <f>IF(Components!O77&gt;0,PPMT(EarningsRate,1,Components!$K77,0,-Components!O77*((1+InflationRate)^Components!$K77),0),M77)</f>
        <v>670.63855836435255</v>
      </c>
      <c r="O77" s="11">
        <f>IF(Components!P77&gt;0,PPMT(EarningsRate,1,Components!$K77,0,-Components!P77*((1+InflationRate)^Components!$K77),0),N77)</f>
        <v>670.63855836435255</v>
      </c>
      <c r="P77" s="11">
        <f>IF(Components!Q77&gt;0,PPMT(EarningsRate,1,Components!$K77,0,-Components!Q77*((1+InflationRate)^Components!$K77),0),O77)</f>
        <v>670.63855836435255</v>
      </c>
      <c r="Q77" s="11">
        <f>IF(Components!R77&gt;0,PPMT(EarningsRate,1,Components!$K77,0,-Components!R77*((1+InflationRate)^Components!$K77),0),P77)</f>
        <v>670.63855836435255</v>
      </c>
      <c r="R77" s="11">
        <f>IF(Components!S77&gt;0,PPMT(EarningsRate,1,Components!$K77,0,-Components!S77*((1+InflationRate)^Components!$K77),0),Q77)</f>
        <v>670.63855836435255</v>
      </c>
      <c r="S77" s="11">
        <f>IF(Components!T77&gt;0,PPMT(EarningsRate,1,Components!$K77,0,-Components!T77*((1+InflationRate)^Components!$K77),0),R77)</f>
        <v>670.63855836435255</v>
      </c>
      <c r="T77" s="11">
        <f>IF(Components!U77&gt;0,PPMT(EarningsRate,1,Components!$K77,0,-Components!U77*((1+InflationRate)^Components!$K77),0),S77)</f>
        <v>670.63855836435255</v>
      </c>
      <c r="U77" s="11">
        <f>IF(Components!V77&gt;0,PPMT(EarningsRate,1,Components!$K77,0,-Components!V77*((1+InflationRate)^Components!$K77),0),T77)</f>
        <v>670.63855836435255</v>
      </c>
      <c r="V77" s="11">
        <f>IF(Components!W77&gt;0,PPMT(EarningsRate,1,Components!$K77,0,-Components!W77*((1+InflationRate)^Components!$K77),0),U77)</f>
        <v>670.63855836435255</v>
      </c>
      <c r="W77" s="11">
        <f>IF(Components!X77&gt;0,PPMT(EarningsRate,1,Components!$K77,0,-Components!X77*((1+InflationRate)^Components!$K77),0),V77)</f>
        <v>670.63855836435255</v>
      </c>
      <c r="X77" s="11">
        <f>IF(Components!Y77&gt;0,PPMT(EarningsRate,1,Components!$K77,0,-Components!Y77*((1+InflationRate)^Components!$K77),0),W77)</f>
        <v>670.63855836435255</v>
      </c>
      <c r="Y77" s="11">
        <f>IF(Components!Z77&gt;0,PPMT(EarningsRate,1,Components!$K77,0,-Components!Z77*((1+InflationRate)^Components!$K77),0),X77)</f>
        <v>670.63855836435255</v>
      </c>
      <c r="Z77" s="11">
        <f>IF(Components!AA77&gt;0,PPMT(EarningsRate,1,Components!$K77,0,-Components!AA77*((1+InflationRate)^Components!$K77),0),Y77)</f>
        <v>670.63855836435255</v>
      </c>
      <c r="AA77" s="11">
        <f>IF(Components!AB77&gt;0,PPMT(EarningsRate,1,Components!$K77,0,-Components!AB77*((1+InflationRate)^Components!$K77),0),Z77)</f>
        <v>670.63855836435255</v>
      </c>
      <c r="AB77" s="11">
        <f>IF(Components!AC77&gt;0,PPMT(EarningsRate,1,Components!$K77,0,-Components!AC77*((1+InflationRate)^Components!$K77),0),AA77)</f>
        <v>670.63855836435255</v>
      </c>
      <c r="AC77" s="11">
        <f>IF(Components!AD77&gt;0,PPMT(EarningsRate,1,Components!$K77,0,-Components!AD77*((1+InflationRate)^Components!$K77),0),AB77)</f>
        <v>1334.4291348441764</v>
      </c>
      <c r="AD77" s="11">
        <f>IF(Components!AE77&gt;0,PPMT(EarningsRate,1,Components!$K77,0,-Components!AE77*((1+InflationRate)^Components!$K77),0),AC77)</f>
        <v>1334.4291348441764</v>
      </c>
      <c r="AE77" s="11">
        <f>IF(Components!AF77&gt;0,PPMT(EarningsRate,1,Components!$K77,0,-Components!AF77*((1+InflationRate)^Components!$K77),0),AD77)</f>
        <v>1334.4291348441764</v>
      </c>
      <c r="AF77" s="11">
        <f>IF(Components!AG77&gt;0,PPMT(EarningsRate,1,Components!$K77,0,-Components!AG77*((1+InflationRate)^Components!$K77),0),AE77)</f>
        <v>1334.4291348441764</v>
      </c>
      <c r="AG77" s="11">
        <f>IF(Components!AH77&gt;0,PPMT(EarningsRate,1,Components!$K77,0,-Components!AH77*((1+InflationRate)^Components!$K77),0),AF77)</f>
        <v>1334.4291348441764</v>
      </c>
      <c r="AH77" s="11">
        <f>IF(Components!AI77&gt;0,PPMT(EarningsRate,1,Components!$K77,0,-Components!AI77*((1+InflationRate)^Components!$K77),0),AG77)</f>
        <v>1334.4291348441764</v>
      </c>
      <c r="AI77" s="11">
        <f>IF(Components!AJ77&gt;0,PPMT(EarningsRate,1,Components!$K77,0,-Components!AJ77*((1+InflationRate)^Components!$K77),0),AH77)</f>
        <v>1334.4291348441764</v>
      </c>
      <c r="AJ77" s="11">
        <f>IF(Components!AK77&gt;0,PPMT(EarningsRate,1,Components!$K77,0,-Components!AK77*((1+InflationRate)^Components!$K77),0),AI77)</f>
        <v>1334.4291348441764</v>
      </c>
      <c r="AK77" s="11">
        <f>IF(Components!AL77&gt;0,PPMT(EarningsRate,1,Components!$K77,0,-Components!AL77*((1+InflationRate)^Components!$K77),0),AJ77)</f>
        <v>1334.4291348441764</v>
      </c>
      <c r="AL77" s="11">
        <f>IF(Components!AM77&gt;0,PPMT(EarningsRate,1,Components!$K77,0,-Components!AM77*((1+InflationRate)^Components!$K77),0),AK77)</f>
        <v>1334.4291348441764</v>
      </c>
      <c r="AM77" s="11">
        <f>IF(Components!AN77&gt;0,PPMT(EarningsRate,1,Components!$K77,0,-Components!AN77*((1+InflationRate)^Components!$K77),0),AL77)</f>
        <v>1334.4291348441764</v>
      </c>
      <c r="AN77" s="11">
        <f>IF(Components!AO77&gt;0,PPMT(EarningsRate,1,Components!$K77,0,-Components!AO77*((1+InflationRate)^Components!$K77),0),AM77)</f>
        <v>1334.4291348441764</v>
      </c>
      <c r="AO77" s="11">
        <f>IF(Components!AP77&gt;0,PPMT(EarningsRate,1,Components!$K77,0,-Components!AP77*((1+InflationRate)^Components!$K77),0),AN77)</f>
        <v>1334.4291348441764</v>
      </c>
      <c r="AP77" s="214"/>
      <c r="AQ77" s="11">
        <f t="shared" si="2"/>
        <v>29419.072903532644</v>
      </c>
    </row>
    <row r="78" spans="1:43" s="1" customFormat="1">
      <c r="A78" s="220" t="str">
        <f>Components!B78</f>
        <v>Pools</v>
      </c>
      <c r="B78" s="220" t="str">
        <f>Components!C78</f>
        <v xml:space="preserve">Indoor Pool UV System </v>
      </c>
      <c r="C78" s="211"/>
      <c r="D78" s="211"/>
      <c r="E78" s="211"/>
      <c r="F78" s="88"/>
      <c r="G78" s="212"/>
      <c r="H78" s="212"/>
      <c r="I78" s="212"/>
      <c r="J78" s="211"/>
      <c r="K78" s="11">
        <f>IF('FF Balance'!H78&gt;=0,PPMT(EarningsRate,1,Components!K78,0,-'FF Balance'!G78,0),0)</f>
        <v>537.74918640369719</v>
      </c>
      <c r="L78" s="11">
        <f>IF(Components!M78&gt;0,PPMT(EarningsRate,1,Components!$K78,0,-Components!M78*((1+InflationRate)^Components!$K78),0),K78)</f>
        <v>537.74918640369719</v>
      </c>
      <c r="M78" s="11">
        <f>IF(Components!N78&gt;0,PPMT(EarningsRate,1,Components!$K78,0,-Components!N78*((1+InflationRate)^Components!$K78),0),L78)</f>
        <v>537.74918640369719</v>
      </c>
      <c r="N78" s="11">
        <f>IF(Components!O78&gt;0,PPMT(EarningsRate,1,Components!$K78,0,-Components!O78*((1+InflationRate)^Components!$K78),0),M78)</f>
        <v>537.74918640369719</v>
      </c>
      <c r="O78" s="11">
        <f>IF(Components!P78&gt;0,PPMT(EarningsRate,1,Components!$K78,0,-Components!P78*((1+InflationRate)^Components!$K78),0),N78)</f>
        <v>537.74918640369719</v>
      </c>
      <c r="P78" s="11">
        <f>IF(Components!Q78&gt;0,PPMT(EarningsRate,1,Components!$K78,0,-Components!Q78*((1+InflationRate)^Components!$K78),0),O78)</f>
        <v>537.74918640369719</v>
      </c>
      <c r="Q78" s="11">
        <f>IF(Components!R78&gt;0,PPMT(EarningsRate,1,Components!$K78,0,-Components!R78*((1+InflationRate)^Components!$K78),0),P78)</f>
        <v>537.74918640369719</v>
      </c>
      <c r="R78" s="11">
        <f>IF(Components!S78&gt;0,PPMT(EarningsRate,1,Components!$K78,0,-Components!S78*((1+InflationRate)^Components!$K78),0),Q78)</f>
        <v>537.74918640369719</v>
      </c>
      <c r="S78" s="11">
        <f>IF(Components!T78&gt;0,PPMT(EarningsRate,1,Components!$K78,0,-Components!T78*((1+InflationRate)^Components!$K78),0),R78)</f>
        <v>900.9174706793591</v>
      </c>
      <c r="T78" s="11">
        <f>IF(Components!U78&gt;0,PPMT(EarningsRate,1,Components!$K78,0,-Components!U78*((1+InflationRate)^Components!$K78),0),S78)</f>
        <v>900.9174706793591</v>
      </c>
      <c r="U78" s="11">
        <f>IF(Components!V78&gt;0,PPMT(EarningsRate,1,Components!$K78,0,-Components!V78*((1+InflationRate)^Components!$K78),0),T78)</f>
        <v>900.9174706793591</v>
      </c>
      <c r="V78" s="11">
        <f>IF(Components!W78&gt;0,PPMT(EarningsRate,1,Components!$K78,0,-Components!W78*((1+InflationRate)^Components!$K78),0),U78)</f>
        <v>900.9174706793591</v>
      </c>
      <c r="W78" s="11">
        <f>IF(Components!X78&gt;0,PPMT(EarningsRate,1,Components!$K78,0,-Components!X78*((1+InflationRate)^Components!$K78),0),V78)</f>
        <v>900.9174706793591</v>
      </c>
      <c r="X78" s="11">
        <f>IF(Components!Y78&gt;0,PPMT(EarningsRate,1,Components!$K78,0,-Components!Y78*((1+InflationRate)^Components!$K78),0),W78)</f>
        <v>900.9174706793591</v>
      </c>
      <c r="Y78" s="11">
        <f>IF(Components!Z78&gt;0,PPMT(EarningsRate,1,Components!$K78,0,-Components!Z78*((1+InflationRate)^Components!$K78),0),X78)</f>
        <v>900.9174706793591</v>
      </c>
      <c r="Z78" s="11">
        <f>IF(Components!AA78&gt;0,PPMT(EarningsRate,1,Components!$K78,0,-Components!AA78*((1+InflationRate)^Components!$K78),0),Y78)</f>
        <v>900.9174706793591</v>
      </c>
      <c r="AA78" s="11">
        <f>IF(Components!AB78&gt;0,PPMT(EarningsRate,1,Components!$K78,0,-Components!AB78*((1+InflationRate)^Components!$K78),0),Z78)</f>
        <v>900.9174706793591</v>
      </c>
      <c r="AB78" s="11">
        <f>IF(Components!AC78&gt;0,PPMT(EarningsRate,1,Components!$K78,0,-Components!AC78*((1+InflationRate)^Components!$K78),0),AA78)</f>
        <v>900.9174706793591</v>
      </c>
      <c r="AC78" s="11">
        <f>IF(Components!AD78&gt;0,PPMT(EarningsRate,1,Components!$K78,0,-Components!AD78*((1+InflationRate)^Components!$K78),0),AB78)</f>
        <v>900.9174706793591</v>
      </c>
      <c r="AD78" s="11">
        <f>IF(Components!AE78&gt;0,PPMT(EarningsRate,1,Components!$K78,0,-Components!AE78*((1+InflationRate)^Components!$K78),0),AC78)</f>
        <v>900.9174706793591</v>
      </c>
      <c r="AE78" s="11">
        <f>IF(Components!AF78&gt;0,PPMT(EarningsRate,1,Components!$K78,0,-Components!AF78*((1+InflationRate)^Components!$K78),0),AD78)</f>
        <v>900.9174706793591</v>
      </c>
      <c r="AF78" s="11">
        <f>IF(Components!AG78&gt;0,PPMT(EarningsRate,1,Components!$K78,0,-Components!AG78*((1+InflationRate)^Components!$K78),0),AE78)</f>
        <v>900.9174706793591</v>
      </c>
      <c r="AG78" s="11">
        <f>IF(Components!AH78&gt;0,PPMT(EarningsRate,1,Components!$K78,0,-Components!AH78*((1+InflationRate)^Components!$K78),0),AF78)</f>
        <v>900.9174706793591</v>
      </c>
      <c r="AH78" s="11">
        <f>IF(Components!AI78&gt;0,PPMT(EarningsRate,1,Components!$K78,0,-Components!AI78*((1+InflationRate)^Components!$K78),0),AG78)</f>
        <v>1509.3517526818812</v>
      </c>
      <c r="AI78" s="11">
        <f>IF(Components!AJ78&gt;0,PPMT(EarningsRate,1,Components!$K78,0,-Components!AJ78*((1+InflationRate)^Components!$K78),0),AH78)</f>
        <v>1509.3517526818812</v>
      </c>
      <c r="AJ78" s="11">
        <f>IF(Components!AK78&gt;0,PPMT(EarningsRate,1,Components!$K78,0,-Components!AK78*((1+InflationRate)^Components!$K78),0),AI78)</f>
        <v>1509.3517526818812</v>
      </c>
      <c r="AK78" s="11">
        <f>IF(Components!AL78&gt;0,PPMT(EarningsRate,1,Components!$K78,0,-Components!AL78*((1+InflationRate)^Components!$K78),0),AJ78)</f>
        <v>1509.3517526818812</v>
      </c>
      <c r="AL78" s="11">
        <f>IF(Components!AM78&gt;0,PPMT(EarningsRate,1,Components!$K78,0,-Components!AM78*((1+InflationRate)^Components!$K78),0),AK78)</f>
        <v>1509.3517526818812</v>
      </c>
      <c r="AM78" s="11">
        <f>IF(Components!AN78&gt;0,PPMT(EarningsRate,1,Components!$K78,0,-Components!AN78*((1+InflationRate)^Components!$K78),0),AL78)</f>
        <v>1509.3517526818812</v>
      </c>
      <c r="AN78" s="11">
        <f>IF(Components!AO78&gt;0,PPMT(EarningsRate,1,Components!$K78,0,-Components!AO78*((1+InflationRate)^Components!$K78),0),AM78)</f>
        <v>1509.3517526818812</v>
      </c>
      <c r="AO78" s="11">
        <f>IF(Components!AP78&gt;0,PPMT(EarningsRate,1,Components!$K78,0,-Components!AP78*((1+InflationRate)^Components!$K78),0),AN78)</f>
        <v>1509.3517526818812</v>
      </c>
      <c r="AP78" s="214"/>
      <c r="AQ78" s="11">
        <f t="shared" si="2"/>
        <v>29890.569672874997</v>
      </c>
    </row>
    <row r="79" spans="1:43" s="1" customFormat="1">
      <c r="A79" s="220" t="str">
        <f>Components!B79</f>
        <v>Pools</v>
      </c>
      <c r="B79" s="220" t="str">
        <f>Components!C79</f>
        <v>Pool Dehumidification Unit</v>
      </c>
      <c r="C79" s="211"/>
      <c r="D79" s="211"/>
      <c r="E79" s="211"/>
      <c r="F79" s="88"/>
      <c r="G79" s="212"/>
      <c r="H79" s="212"/>
      <c r="I79" s="212"/>
      <c r="J79" s="211"/>
      <c r="K79" s="11">
        <f>IF('FF Balance'!H79&gt;=0,PPMT(EarningsRate,1,Components!K79,0,-'FF Balance'!G79,0),0)</f>
        <v>2856.5521529919038</v>
      </c>
      <c r="L79" s="11">
        <f>IF(Components!M79&gt;0,PPMT(EarningsRate,1,Components!$K79,0,-Components!M79*((1+InflationRate)^Components!$K79),0),K79)</f>
        <v>2856.5521529919038</v>
      </c>
      <c r="M79" s="11">
        <f>IF(Components!N79&gt;0,PPMT(EarningsRate,1,Components!$K79,0,-Components!N79*((1+InflationRate)^Components!$K79),0),L79)</f>
        <v>2856.5521529919038</v>
      </c>
      <c r="N79" s="11">
        <f>IF(Components!O79&gt;0,PPMT(EarningsRate,1,Components!$K79,0,-Components!O79*((1+InflationRate)^Components!$K79),0),M79)</f>
        <v>2856.5521529919038</v>
      </c>
      <c r="O79" s="11">
        <f>IF(Components!P79&gt;0,PPMT(EarningsRate,1,Components!$K79,0,-Components!P79*((1+InflationRate)^Components!$K79),0),N79)</f>
        <v>2856.5521529919038</v>
      </c>
      <c r="P79" s="11">
        <f>IF(Components!Q79&gt;0,PPMT(EarningsRate,1,Components!$K79,0,-Components!Q79*((1+InflationRate)^Components!$K79),0),O79)</f>
        <v>2856.5521529919038</v>
      </c>
      <c r="Q79" s="11">
        <f>IF(Components!R79&gt;0,PPMT(EarningsRate,1,Components!$K79,0,-Components!R79*((1+InflationRate)^Components!$K79),0),P79)</f>
        <v>2856.5521529919038</v>
      </c>
      <c r="R79" s="11">
        <f>IF(Components!S79&gt;0,PPMT(EarningsRate,1,Components!$K79,0,-Components!S79*((1+InflationRate)^Components!$K79),0),Q79)</f>
        <v>2856.5521529919038</v>
      </c>
      <c r="S79" s="11">
        <f>IF(Components!T79&gt;0,PPMT(EarningsRate,1,Components!$K79,0,-Components!T79*((1+InflationRate)^Components!$K79),0),R79)</f>
        <v>4785.7213094975505</v>
      </c>
      <c r="T79" s="11">
        <f>IF(Components!U79&gt;0,PPMT(EarningsRate,1,Components!$K79,0,-Components!U79*((1+InflationRate)^Components!$K79),0),S79)</f>
        <v>4785.7213094975505</v>
      </c>
      <c r="U79" s="11">
        <f>IF(Components!V79&gt;0,PPMT(EarningsRate,1,Components!$K79,0,-Components!V79*((1+InflationRate)^Components!$K79),0),T79)</f>
        <v>4785.7213094975505</v>
      </c>
      <c r="V79" s="11">
        <f>IF(Components!W79&gt;0,PPMT(EarningsRate,1,Components!$K79,0,-Components!W79*((1+InflationRate)^Components!$K79),0),U79)</f>
        <v>4785.7213094975505</v>
      </c>
      <c r="W79" s="11">
        <f>IF(Components!X79&gt;0,PPMT(EarningsRate,1,Components!$K79,0,-Components!X79*((1+InflationRate)^Components!$K79),0),V79)</f>
        <v>4785.7213094975505</v>
      </c>
      <c r="X79" s="11">
        <f>IF(Components!Y79&gt;0,PPMT(EarningsRate,1,Components!$K79,0,-Components!Y79*((1+InflationRate)^Components!$K79),0),W79)</f>
        <v>4785.7213094975505</v>
      </c>
      <c r="Y79" s="11">
        <f>IF(Components!Z79&gt;0,PPMT(EarningsRate,1,Components!$K79,0,-Components!Z79*((1+InflationRate)^Components!$K79),0),X79)</f>
        <v>4785.7213094975505</v>
      </c>
      <c r="Z79" s="11">
        <f>IF(Components!AA79&gt;0,PPMT(EarningsRate,1,Components!$K79,0,-Components!AA79*((1+InflationRate)^Components!$K79),0),Y79)</f>
        <v>4785.7213094975505</v>
      </c>
      <c r="AA79" s="11">
        <f>IF(Components!AB79&gt;0,PPMT(EarningsRate,1,Components!$K79,0,-Components!AB79*((1+InflationRate)^Components!$K79),0),Z79)</f>
        <v>4785.7213094975505</v>
      </c>
      <c r="AB79" s="11">
        <f>IF(Components!AC79&gt;0,PPMT(EarningsRate,1,Components!$K79,0,-Components!AC79*((1+InflationRate)^Components!$K79),0),AA79)</f>
        <v>4785.7213094975505</v>
      </c>
      <c r="AC79" s="11">
        <f>IF(Components!AD79&gt;0,PPMT(EarningsRate,1,Components!$K79,0,-Components!AD79*((1+InflationRate)^Components!$K79),0),AB79)</f>
        <v>4785.7213094975505</v>
      </c>
      <c r="AD79" s="11">
        <f>IF(Components!AE79&gt;0,PPMT(EarningsRate,1,Components!$K79,0,-Components!AE79*((1+InflationRate)^Components!$K79),0),AC79)</f>
        <v>4785.7213094975505</v>
      </c>
      <c r="AE79" s="11">
        <f>IF(Components!AF79&gt;0,PPMT(EarningsRate,1,Components!$K79,0,-Components!AF79*((1+InflationRate)^Components!$K79),0),AD79)</f>
        <v>4785.7213094975505</v>
      </c>
      <c r="AF79" s="11">
        <f>IF(Components!AG79&gt;0,PPMT(EarningsRate,1,Components!$K79,0,-Components!AG79*((1+InflationRate)^Components!$K79),0),AE79)</f>
        <v>4785.7213094975505</v>
      </c>
      <c r="AG79" s="11">
        <f>IF(Components!AH79&gt;0,PPMT(EarningsRate,1,Components!$K79,0,-Components!AH79*((1+InflationRate)^Components!$K79),0),AF79)</f>
        <v>4785.7213094975505</v>
      </c>
      <c r="AH79" s="11">
        <f>IF(Components!AI79&gt;0,PPMT(EarningsRate,1,Components!$K79,0,-Components!AI79*((1+InflationRate)^Components!$K79),0),AG79)</f>
        <v>8017.7519153168287</v>
      </c>
      <c r="AI79" s="11">
        <f>IF(Components!AJ79&gt;0,PPMT(EarningsRate,1,Components!$K79,0,-Components!AJ79*((1+InflationRate)^Components!$K79),0),AH79)</f>
        <v>8017.7519153168287</v>
      </c>
      <c r="AJ79" s="11">
        <f>IF(Components!AK79&gt;0,PPMT(EarningsRate,1,Components!$K79,0,-Components!AK79*((1+InflationRate)^Components!$K79),0),AI79)</f>
        <v>8017.7519153168287</v>
      </c>
      <c r="AK79" s="11">
        <f>IF(Components!AL79&gt;0,PPMT(EarningsRate,1,Components!$K79,0,-Components!AL79*((1+InflationRate)^Components!$K79),0),AJ79)</f>
        <v>8017.7519153168287</v>
      </c>
      <c r="AL79" s="11">
        <f>IF(Components!AM79&gt;0,PPMT(EarningsRate,1,Components!$K79,0,-Components!AM79*((1+InflationRate)^Components!$K79),0),AK79)</f>
        <v>8017.7519153168287</v>
      </c>
      <c r="AM79" s="11">
        <f>IF(Components!AN79&gt;0,PPMT(EarningsRate,1,Components!$K79,0,-Components!AN79*((1+InflationRate)^Components!$K79),0),AL79)</f>
        <v>8017.7519153168287</v>
      </c>
      <c r="AN79" s="11">
        <f>IF(Components!AO79&gt;0,PPMT(EarningsRate,1,Components!$K79,0,-Components!AO79*((1+InflationRate)^Components!$K79),0),AM79)</f>
        <v>8017.7519153168287</v>
      </c>
      <c r="AO79" s="11">
        <f>IF(Components!AP79&gt;0,PPMT(EarningsRate,1,Components!$K79,0,-Components!AP79*((1+InflationRate)^Components!$K79),0),AN79)</f>
        <v>8017.7519153168287</v>
      </c>
      <c r="AP79" s="214"/>
      <c r="AQ79" s="11">
        <f t="shared" si="2"/>
        <v>158780.25228893309</v>
      </c>
    </row>
    <row r="80" spans="1:43" s="1" customFormat="1">
      <c r="A80" s="220" t="str">
        <f>Components!B80</f>
        <v>Pools</v>
      </c>
      <c r="B80" s="220" t="str">
        <f>Components!C80</f>
        <v>Pool lift</v>
      </c>
      <c r="C80" s="211"/>
      <c r="D80" s="211"/>
      <c r="E80" s="211"/>
      <c r="F80" s="88"/>
      <c r="G80" s="212"/>
      <c r="H80" s="212"/>
      <c r="I80" s="212"/>
      <c r="J80" s="211"/>
      <c r="K80" s="11">
        <f>IF('FF Balance'!H80&gt;=0,PPMT(EarningsRate,1,Components!K80,0,-'FF Balance'!G80,0),0)</f>
        <v>619.45934979843332</v>
      </c>
      <c r="L80" s="11">
        <f>IF(Components!M80&gt;0,PPMT(EarningsRate,1,Components!$K80,0,-Components!M80*((1+InflationRate)^Components!$K80),0),K80)</f>
        <v>619.45934979843332</v>
      </c>
      <c r="M80" s="11">
        <f>IF(Components!N80&gt;0,PPMT(EarningsRate,1,Components!$K80,0,-Components!N80*((1+InflationRate)^Components!$K80),0),L80)</f>
        <v>619.45934979843332</v>
      </c>
      <c r="N80" s="11">
        <f>IF(Components!O80&gt;0,PPMT(EarningsRate,1,Components!$K80,0,-Components!O80*((1+InflationRate)^Components!$K80),0),M80)</f>
        <v>619.45934979843332</v>
      </c>
      <c r="O80" s="11">
        <f>IF(Components!P80&gt;0,PPMT(EarningsRate,1,Components!$K80,0,-Components!P80*((1+InflationRate)^Components!$K80),0),N80)</f>
        <v>619.45934979843332</v>
      </c>
      <c r="P80" s="11">
        <f>IF(Components!Q80&gt;0,PPMT(EarningsRate,1,Components!$K80,0,-Components!Q80*((1+InflationRate)^Components!$K80),0),O80)</f>
        <v>619.45934979843332</v>
      </c>
      <c r="Q80" s="11">
        <f>IF(Components!R80&gt;0,PPMT(EarningsRate,1,Components!$K80,0,-Components!R80*((1+InflationRate)^Components!$K80),0),P80)</f>
        <v>619.45934979843332</v>
      </c>
      <c r="R80" s="11">
        <f>IF(Components!S80&gt;0,PPMT(EarningsRate,1,Components!$K80,0,-Components!S80*((1+InflationRate)^Components!$K80),0),Q80)</f>
        <v>619.45934979843332</v>
      </c>
      <c r="S80" s="11">
        <f>IF(Components!T80&gt;0,PPMT(EarningsRate,1,Components!$K80,0,-Components!T80*((1+InflationRate)^Components!$K80),0),R80)</f>
        <v>619.45934979843332</v>
      </c>
      <c r="T80" s="11">
        <f>IF(Components!U80&gt;0,PPMT(EarningsRate,1,Components!$K80,0,-Components!U80*((1+InflationRate)^Components!$K80),0),S80)</f>
        <v>873.80859108083553</v>
      </c>
      <c r="U80" s="11">
        <f>IF(Components!V80&gt;0,PPMT(EarningsRate,1,Components!$K80,0,-Components!V80*((1+InflationRate)^Components!$K80),0),T80)</f>
        <v>873.80859108083553</v>
      </c>
      <c r="V80" s="11">
        <f>IF(Components!W80&gt;0,PPMT(EarningsRate,1,Components!$K80,0,-Components!W80*((1+InflationRate)^Components!$K80),0),U80)</f>
        <v>873.80859108083553</v>
      </c>
      <c r="W80" s="11">
        <f>IF(Components!X80&gt;0,PPMT(EarningsRate,1,Components!$K80,0,-Components!X80*((1+InflationRate)^Components!$K80),0),V80)</f>
        <v>873.80859108083553</v>
      </c>
      <c r="X80" s="11">
        <f>IF(Components!Y80&gt;0,PPMT(EarningsRate,1,Components!$K80,0,-Components!Y80*((1+InflationRate)^Components!$K80),0),W80)</f>
        <v>873.80859108083553</v>
      </c>
      <c r="Y80" s="11">
        <f>IF(Components!Z80&gt;0,PPMT(EarningsRate,1,Components!$K80,0,-Components!Z80*((1+InflationRate)^Components!$K80),0),X80)</f>
        <v>873.80859108083553</v>
      </c>
      <c r="Z80" s="11">
        <f>IF(Components!AA80&gt;0,PPMT(EarningsRate,1,Components!$K80,0,-Components!AA80*((1+InflationRate)^Components!$K80),0),Y80)</f>
        <v>873.80859108083553</v>
      </c>
      <c r="AA80" s="11">
        <f>IF(Components!AB80&gt;0,PPMT(EarningsRate,1,Components!$K80,0,-Components!AB80*((1+InflationRate)^Components!$K80),0),Z80)</f>
        <v>873.80859108083553</v>
      </c>
      <c r="AB80" s="11">
        <f>IF(Components!AC80&gt;0,PPMT(EarningsRate,1,Components!$K80,0,-Components!AC80*((1+InflationRate)^Components!$K80),0),AA80)</f>
        <v>873.80859108083553</v>
      </c>
      <c r="AC80" s="11">
        <f>IF(Components!AD80&gt;0,PPMT(EarningsRate,1,Components!$K80,0,-Components!AD80*((1+InflationRate)^Components!$K80),0),AB80)</f>
        <v>873.80859108083553</v>
      </c>
      <c r="AD80" s="11">
        <f>IF(Components!AE80&gt;0,PPMT(EarningsRate,1,Components!$K80,0,-Components!AE80*((1+InflationRate)^Components!$K80),0),AC80)</f>
        <v>1232.7446413354962</v>
      </c>
      <c r="AE80" s="11">
        <f>IF(Components!AF80&gt;0,PPMT(EarningsRate,1,Components!$K80,0,-Components!AF80*((1+InflationRate)^Components!$K80),0),AD80)</f>
        <v>1232.7446413354962</v>
      </c>
      <c r="AF80" s="11">
        <f>IF(Components!AG80&gt;0,PPMT(EarningsRate,1,Components!$K80,0,-Components!AG80*((1+InflationRate)^Components!$K80),0),AE80)</f>
        <v>1232.7446413354962</v>
      </c>
      <c r="AG80" s="11">
        <f>IF(Components!AH80&gt;0,PPMT(EarningsRate,1,Components!$K80,0,-Components!AH80*((1+InflationRate)^Components!$K80),0),AF80)</f>
        <v>1232.7446413354962</v>
      </c>
      <c r="AH80" s="11">
        <f>IF(Components!AI80&gt;0,PPMT(EarningsRate,1,Components!$K80,0,-Components!AI80*((1+InflationRate)^Components!$K80),0),AG80)</f>
        <v>1232.7446413354962</v>
      </c>
      <c r="AI80" s="11">
        <f>IF(Components!AJ80&gt;0,PPMT(EarningsRate,1,Components!$K80,0,-Components!AJ80*((1+InflationRate)^Components!$K80),0),AH80)</f>
        <v>1232.7446413354962</v>
      </c>
      <c r="AJ80" s="11">
        <f>IF(Components!AK80&gt;0,PPMT(EarningsRate,1,Components!$K80,0,-Components!AK80*((1+InflationRate)^Components!$K80),0),AI80)</f>
        <v>1232.7446413354962</v>
      </c>
      <c r="AK80" s="11">
        <f>IF(Components!AL80&gt;0,PPMT(EarningsRate,1,Components!$K80,0,-Components!AL80*((1+InflationRate)^Components!$K80),0),AJ80)</f>
        <v>1232.7446413354962</v>
      </c>
      <c r="AL80" s="11">
        <f>IF(Components!AM80&gt;0,PPMT(EarningsRate,1,Components!$K80,0,-Components!AM80*((1+InflationRate)^Components!$K80),0),AK80)</f>
        <v>1232.7446413354962</v>
      </c>
      <c r="AM80" s="11">
        <f>IF(Components!AN80&gt;0,PPMT(EarningsRate,1,Components!$K80,0,-Components!AN80*((1+InflationRate)^Components!$K80),0),AL80)</f>
        <v>1232.7446413354962</v>
      </c>
      <c r="AN80" s="11">
        <f>IF(Components!AO80&gt;0,PPMT(EarningsRate,1,Components!$K80,0,-Components!AO80*((1+InflationRate)^Components!$K80),0),AM80)</f>
        <v>1738.7688122197017</v>
      </c>
      <c r="AO80" s="11">
        <f>IF(Components!AP80&gt;0,PPMT(EarningsRate,1,Components!$K80,0,-Components!AP80*((1+InflationRate)^Components!$K80),0),AN80)</f>
        <v>1738.7688122197017</v>
      </c>
      <c r="AP80" s="214"/>
      <c r="AQ80" s="11">
        <f t="shared" si="2"/>
        <v>30118.204196788614</v>
      </c>
    </row>
    <row r="81" spans="1:43" s="1" customFormat="1">
      <c r="A81" s="220" t="str">
        <f>Components!B81</f>
        <v>Pools</v>
      </c>
      <c r="B81" s="220" t="str">
        <f>Components!C81</f>
        <v>Pool Recirculation Motor</v>
      </c>
      <c r="C81" s="211"/>
      <c r="D81" s="211"/>
      <c r="E81" s="211"/>
      <c r="F81" s="88"/>
      <c r="G81" s="212"/>
      <c r="H81" s="212"/>
      <c r="I81" s="212"/>
      <c r="J81" s="211"/>
      <c r="K81" s="11">
        <f>IF('FF Balance'!H81&gt;=0,PPMT(EarningsRate,1,Components!K81,0,-'FF Balance'!G81,0),0)</f>
        <v>0</v>
      </c>
      <c r="L81" s="11">
        <f>IF(Components!M81&gt;0,PPMT(EarningsRate,1,Components!$K81,0,-Components!M81*((1+InflationRate)^Components!$K81),0),K81)</f>
        <v>0</v>
      </c>
      <c r="M81" s="11">
        <f>IF(Components!N81&gt;0,PPMT(EarningsRate,1,Components!$K81,0,-Components!N81*((1+InflationRate)^Components!$K81),0),L81)</f>
        <v>0</v>
      </c>
      <c r="N81" s="11">
        <f>IF(Components!O81&gt;0,PPMT(EarningsRate,1,Components!$K81,0,-Components!O81*((1+InflationRate)^Components!$K81),0),M81)</f>
        <v>0</v>
      </c>
      <c r="O81" s="11">
        <f>IF(Components!P81&gt;0,PPMT(EarningsRate,1,Components!$K81,0,-Components!P81*((1+InflationRate)^Components!$K81),0),N81)</f>
        <v>0</v>
      </c>
      <c r="P81" s="11">
        <f>IF(Components!Q81&gt;0,PPMT(EarningsRate,1,Components!$K81,0,-Components!Q81*((1+InflationRate)^Components!$K81),0),O81)</f>
        <v>2753.487300238121</v>
      </c>
      <c r="Q81" s="11">
        <f>IF(Components!R81&gt;0,PPMT(EarningsRate,1,Components!$K81,0,-Components!R81*((1+InflationRate)^Components!$K81),0),P81)</f>
        <v>2753.487300238121</v>
      </c>
      <c r="R81" s="11">
        <f>IF(Components!S81&gt;0,PPMT(EarningsRate,1,Components!$K81,0,-Components!S81*((1+InflationRate)^Components!$K81),0),Q81)</f>
        <v>2753.487300238121</v>
      </c>
      <c r="S81" s="11">
        <f>IF(Components!T81&gt;0,PPMT(EarningsRate,1,Components!$K81,0,-Components!T81*((1+InflationRate)^Components!$K81),0),R81)</f>
        <v>2753.487300238121</v>
      </c>
      <c r="T81" s="11">
        <f>IF(Components!U81&gt;0,PPMT(EarningsRate,1,Components!$K81,0,-Components!U81*((1+InflationRate)^Components!$K81),0),S81)</f>
        <v>2753.487300238121</v>
      </c>
      <c r="U81" s="11">
        <f>IF(Components!V81&gt;0,PPMT(EarningsRate,1,Components!$K81,0,-Components!V81*((1+InflationRate)^Components!$K81),0),T81)</f>
        <v>3270.0651145271486</v>
      </c>
      <c r="V81" s="11">
        <f>IF(Components!W81&gt;0,PPMT(EarningsRate,1,Components!$K81,0,-Components!W81*((1+InflationRate)^Components!$K81),0),U81)</f>
        <v>3270.0651145271486</v>
      </c>
      <c r="W81" s="11">
        <f>IF(Components!X81&gt;0,PPMT(EarningsRate,1,Components!$K81,0,-Components!X81*((1+InflationRate)^Components!$K81),0),V81)</f>
        <v>3270.0651145271486</v>
      </c>
      <c r="X81" s="11">
        <f>IF(Components!Y81&gt;0,PPMT(EarningsRate,1,Components!$K81,0,-Components!Y81*((1+InflationRate)^Components!$K81),0),W81)</f>
        <v>3270.0651145271486</v>
      </c>
      <c r="Y81" s="11">
        <f>IF(Components!Z81&gt;0,PPMT(EarningsRate,1,Components!$K81,0,-Components!Z81*((1+InflationRate)^Components!$K81),0),X81)</f>
        <v>3270.0651145271486</v>
      </c>
      <c r="Z81" s="11">
        <f>IF(Components!AA81&gt;0,PPMT(EarningsRate,1,Components!$K81,0,-Components!AA81*((1+InflationRate)^Components!$K81),0),Y81)</f>
        <v>3883.8998629878765</v>
      </c>
      <c r="AA81" s="11">
        <f>IF(Components!AB81&gt;0,PPMT(EarningsRate,1,Components!$K81,0,-Components!AB81*((1+InflationRate)^Components!$K81),0),Z81)</f>
        <v>3883.8998629878765</v>
      </c>
      <c r="AB81" s="11">
        <f>IF(Components!AC81&gt;0,PPMT(EarningsRate,1,Components!$K81,0,-Components!AC81*((1+InflationRate)^Components!$K81),0),AA81)</f>
        <v>3883.8998629878765</v>
      </c>
      <c r="AC81" s="11">
        <f>IF(Components!AD81&gt;0,PPMT(EarningsRate,1,Components!$K81,0,-Components!AD81*((1+InflationRate)^Components!$K81),0),AB81)</f>
        <v>3883.8998629878765</v>
      </c>
      <c r="AD81" s="11">
        <f>IF(Components!AE81&gt;0,PPMT(EarningsRate,1,Components!$K81,0,-Components!AE81*((1+InflationRate)^Components!$K81),0),AC81)</f>
        <v>3883.8998629878765</v>
      </c>
      <c r="AE81" s="11">
        <f>IF(Components!AF81&gt;0,PPMT(EarningsRate,1,Components!$K81,0,-Components!AF81*((1+InflationRate)^Components!$K81),0),AD81)</f>
        <v>4612.9852172820474</v>
      </c>
      <c r="AF81" s="11">
        <f>IF(Components!AG81&gt;0,PPMT(EarningsRate,1,Components!$K81,0,-Components!AG81*((1+InflationRate)^Components!$K81),0),AE81)</f>
        <v>4612.9852172820474</v>
      </c>
      <c r="AG81" s="11">
        <f>IF(Components!AH81&gt;0,PPMT(EarningsRate,1,Components!$K81,0,-Components!AH81*((1+InflationRate)^Components!$K81),0),AF81)</f>
        <v>4612.9852172820474</v>
      </c>
      <c r="AH81" s="11">
        <f>IF(Components!AI81&gt;0,PPMT(EarningsRate,1,Components!$K81,0,-Components!AI81*((1+InflationRate)^Components!$K81),0),AG81)</f>
        <v>4612.9852172820474</v>
      </c>
      <c r="AI81" s="11">
        <f>IF(Components!AJ81&gt;0,PPMT(EarningsRate,1,Components!$K81,0,-Components!AJ81*((1+InflationRate)^Components!$K81),0),AH81)</f>
        <v>4612.9852172820474</v>
      </c>
      <c r="AJ81" s="11">
        <f>IF(Components!AK81&gt;0,PPMT(EarningsRate,1,Components!$K81,0,-Components!AK81*((1+InflationRate)^Components!$K81),0),AI81)</f>
        <v>5478.7313690071778</v>
      </c>
      <c r="AK81" s="11">
        <f>IF(Components!AL81&gt;0,PPMT(EarningsRate,1,Components!$K81,0,-Components!AL81*((1+InflationRate)^Components!$K81),0),AJ81)</f>
        <v>5478.7313690071778</v>
      </c>
      <c r="AL81" s="11">
        <f>IF(Components!AM81&gt;0,PPMT(EarningsRate,1,Components!$K81,0,-Components!AM81*((1+InflationRate)^Components!$K81),0),AK81)</f>
        <v>5478.7313690071778</v>
      </c>
      <c r="AM81" s="11">
        <f>IF(Components!AN81&gt;0,PPMT(EarningsRate,1,Components!$K81,0,-Components!AN81*((1+InflationRate)^Components!$K81),0),AL81)</f>
        <v>5478.7313690071778</v>
      </c>
      <c r="AN81" s="11">
        <f>IF(Components!AO81&gt;0,PPMT(EarningsRate,1,Components!$K81,0,-Components!AO81*((1+InflationRate)^Components!$K81),0),AM81)</f>
        <v>5478.7313690071778</v>
      </c>
      <c r="AO81" s="11">
        <f>IF(Components!AP81&gt;0,PPMT(EarningsRate,1,Components!$K81,0,-Components!AP81*((1+InflationRate)^Components!$K81),0),AN81)</f>
        <v>6506.8761016794315</v>
      </c>
      <c r="AP81" s="214"/>
      <c r="AQ81" s="11">
        <f t="shared" si="2"/>
        <v>106502.72052189129</v>
      </c>
    </row>
    <row r="82" spans="1:43" s="1" customFormat="1">
      <c r="A82" s="220" t="str">
        <f>Components!B82</f>
        <v>Pools</v>
      </c>
      <c r="B82" s="220" t="str">
        <f>Components!C82</f>
        <v>Pool Water Filter</v>
      </c>
      <c r="C82" s="211"/>
      <c r="D82" s="211"/>
      <c r="E82" s="211"/>
      <c r="F82" s="88"/>
      <c r="G82" s="212"/>
      <c r="H82" s="212"/>
      <c r="I82" s="212"/>
      <c r="J82" s="211"/>
      <c r="K82" s="11">
        <f>IF('FF Balance'!H82&gt;=0,PPMT(EarningsRate,1,Components!K82,0,-'FF Balance'!G82,0),0)</f>
        <v>2837.8467079942043</v>
      </c>
      <c r="L82" s="11">
        <f>IF(Components!M82&gt;0,PPMT(EarningsRate,1,Components!$K82,0,-Components!M82*((1+InflationRate)^Components!$K82),0),K82)</f>
        <v>2837.8467079942043</v>
      </c>
      <c r="M82" s="11">
        <f>IF(Components!N82&gt;0,PPMT(EarningsRate,1,Components!$K82,0,-Components!N82*((1+InflationRate)^Components!$K82),0),L82)</f>
        <v>2837.8467079942043</v>
      </c>
      <c r="N82" s="11">
        <f>IF(Components!O82&gt;0,PPMT(EarningsRate,1,Components!$K82,0,-Components!O82*((1+InflationRate)^Components!$K82),0),M82)</f>
        <v>2837.8467079942043</v>
      </c>
      <c r="O82" s="11">
        <f>IF(Components!P82&gt;0,PPMT(EarningsRate,1,Components!$K82,0,-Components!P82*((1+InflationRate)^Components!$K82),0),N82)</f>
        <v>2837.8467079942043</v>
      </c>
      <c r="P82" s="11">
        <f>IF(Components!Q82&gt;0,PPMT(EarningsRate,1,Components!$K82,0,-Components!Q82*((1+InflationRate)^Components!$K82),0),O82)</f>
        <v>2837.8467079942043</v>
      </c>
      <c r="Q82" s="11">
        <f>IF(Components!R82&gt;0,PPMT(EarningsRate,1,Components!$K82,0,-Components!R82*((1+InflationRate)^Components!$K82),0),P82)</f>
        <v>2837.8467079942043</v>
      </c>
      <c r="R82" s="11">
        <f>IF(Components!S82&gt;0,PPMT(EarningsRate,1,Components!$K82,0,-Components!S82*((1+InflationRate)^Components!$K82),0),Q82)</f>
        <v>2837.8467079942043</v>
      </c>
      <c r="S82" s="11">
        <f>IF(Components!T82&gt;0,PPMT(EarningsRate,1,Components!$K82,0,-Components!T82*((1+InflationRate)^Components!$K82),0),R82)</f>
        <v>2837.8467079942043</v>
      </c>
      <c r="T82" s="11">
        <f>IF(Components!U82&gt;0,PPMT(EarningsRate,1,Components!$K82,0,-Components!U82*((1+InflationRate)^Components!$K82),0),S82)</f>
        <v>2837.8467079942043</v>
      </c>
      <c r="U82" s="11">
        <f>IF(Components!V82&gt;0,PPMT(EarningsRate,1,Components!$K82,0,-Components!V82*((1+InflationRate)^Components!$K82),0),T82)</f>
        <v>2837.8467079942043</v>
      </c>
      <c r="V82" s="11">
        <f>IF(Components!W82&gt;0,PPMT(EarningsRate,1,Components!$K82,0,-Components!W82*((1+InflationRate)^Components!$K82),0),U82)</f>
        <v>2837.8467079942043</v>
      </c>
      <c r="W82" s="11">
        <f>IF(Components!X82&gt;0,PPMT(EarningsRate,1,Components!$K82,0,-Components!X82*((1+InflationRate)^Components!$K82),0),V82)</f>
        <v>2837.8467079942043</v>
      </c>
      <c r="X82" s="11">
        <f>IF(Components!Y82&gt;0,PPMT(EarningsRate,1,Components!$K82,0,-Components!Y82*((1+InflationRate)^Components!$K82),0),W82)</f>
        <v>5646.7157757900695</v>
      </c>
      <c r="Y82" s="11">
        <f>IF(Components!Z82&gt;0,PPMT(EarningsRate,1,Components!$K82,0,-Components!Z82*((1+InflationRate)^Components!$K82),0),X82)</f>
        <v>5646.7157757900695</v>
      </c>
      <c r="Z82" s="11">
        <f>IF(Components!AA82&gt;0,PPMT(EarningsRate,1,Components!$K82,0,-Components!AA82*((1+InflationRate)^Components!$K82),0),Y82)</f>
        <v>5646.7157757900695</v>
      </c>
      <c r="AA82" s="11">
        <f>IF(Components!AB82&gt;0,PPMT(EarningsRate,1,Components!$K82,0,-Components!AB82*((1+InflationRate)^Components!$K82),0),Z82)</f>
        <v>5646.7157757900695</v>
      </c>
      <c r="AB82" s="11">
        <f>IF(Components!AC82&gt;0,PPMT(EarningsRate,1,Components!$K82,0,-Components!AC82*((1+InflationRate)^Components!$K82),0),AA82)</f>
        <v>5646.7157757900695</v>
      </c>
      <c r="AC82" s="11">
        <f>IF(Components!AD82&gt;0,PPMT(EarningsRate,1,Components!$K82,0,-Components!AD82*((1+InflationRate)^Components!$K82),0),AB82)</f>
        <v>5646.7157757900695</v>
      </c>
      <c r="AD82" s="11">
        <f>IF(Components!AE82&gt;0,PPMT(EarningsRate,1,Components!$K82,0,-Components!AE82*((1+InflationRate)^Components!$K82),0),AC82)</f>
        <v>5646.7157757900695</v>
      </c>
      <c r="AE82" s="11">
        <f>IF(Components!AF82&gt;0,PPMT(EarningsRate,1,Components!$K82,0,-Components!AF82*((1+InflationRate)^Components!$K82),0),AD82)</f>
        <v>5646.7157757900695</v>
      </c>
      <c r="AF82" s="11">
        <f>IF(Components!AG82&gt;0,PPMT(EarningsRate,1,Components!$K82,0,-Components!AG82*((1+InflationRate)^Components!$K82),0),AE82)</f>
        <v>5646.7157757900695</v>
      </c>
      <c r="AG82" s="11">
        <f>IF(Components!AH82&gt;0,PPMT(EarningsRate,1,Components!$K82,0,-Components!AH82*((1+InflationRate)^Components!$K82),0),AF82)</f>
        <v>5646.7157757900695</v>
      </c>
      <c r="AH82" s="11">
        <f>IF(Components!AI82&gt;0,PPMT(EarningsRate,1,Components!$K82,0,-Components!AI82*((1+InflationRate)^Components!$K82),0),AG82)</f>
        <v>5646.7157757900695</v>
      </c>
      <c r="AI82" s="11">
        <f>IF(Components!AJ82&gt;0,PPMT(EarningsRate,1,Components!$K82,0,-Components!AJ82*((1+InflationRate)^Components!$K82),0),AH82)</f>
        <v>5646.7157757900695</v>
      </c>
      <c r="AJ82" s="11">
        <f>IF(Components!AK82&gt;0,PPMT(EarningsRate,1,Components!$K82,0,-Components!AK82*((1+InflationRate)^Components!$K82),0),AI82)</f>
        <v>5646.7157757900695</v>
      </c>
      <c r="AK82" s="11">
        <f>IF(Components!AL82&gt;0,PPMT(EarningsRate,1,Components!$K82,0,-Components!AL82*((1+InflationRate)^Components!$K82),0),AJ82)</f>
        <v>5646.7157757900695</v>
      </c>
      <c r="AL82" s="11">
        <f>IF(Components!AM82&gt;0,PPMT(EarningsRate,1,Components!$K82,0,-Components!AM82*((1+InflationRate)^Components!$K82),0),AK82)</f>
        <v>5646.7157757900695</v>
      </c>
      <c r="AM82" s="11">
        <f>IF(Components!AN82&gt;0,PPMT(EarningsRate,1,Components!$K82,0,-Components!AN82*((1+InflationRate)^Components!$K82),0),AL82)</f>
        <v>5646.7157757900695</v>
      </c>
      <c r="AN82" s="11">
        <f>IF(Components!AO82&gt;0,PPMT(EarningsRate,1,Components!$K82,0,-Components!AO82*((1+InflationRate)^Components!$K82),0),AM82)</f>
        <v>5646.7157757900695</v>
      </c>
      <c r="AO82" s="11">
        <f>IF(Components!AP82&gt;0,PPMT(EarningsRate,1,Components!$K82,0,-Components!AP82*((1+InflationRate)^Components!$K82),0),AN82)</f>
        <v>5646.7157757900695</v>
      </c>
      <c r="AP82" s="214"/>
      <c r="AQ82" s="11">
        <f t="shared" si="2"/>
        <v>138532.89126814593</v>
      </c>
    </row>
    <row r="83" spans="1:43" s="1" customFormat="1">
      <c r="A83" s="220" t="str">
        <f>Components!B83</f>
        <v>Pools</v>
      </c>
      <c r="B83" s="220" t="str">
        <f>Components!C83</f>
        <v>Pool, outdoor, plaster finish</v>
      </c>
      <c r="C83" s="211"/>
      <c r="D83" s="211"/>
      <c r="E83" s="211"/>
      <c r="F83" s="88"/>
      <c r="G83" s="212"/>
      <c r="H83" s="212"/>
      <c r="I83" s="212"/>
      <c r="J83" s="211"/>
      <c r="K83" s="11">
        <f>IF('FF Balance'!H83&gt;=0,PPMT(EarningsRate,1,Components!K83,0,-'FF Balance'!G83,0),0)</f>
        <v>4235.6288003485406</v>
      </c>
      <c r="L83" s="11">
        <f>IF(Components!M83&gt;0,PPMT(EarningsRate,1,Components!$K83,0,-Components!M83*((1+InflationRate)^Components!$K83),0),K83)</f>
        <v>4235.6288003485406</v>
      </c>
      <c r="M83" s="11">
        <f>IF(Components!N83&gt;0,PPMT(EarningsRate,1,Components!$K83,0,-Components!N83*((1+InflationRate)^Components!$K83),0),L83)</f>
        <v>4235.6288003485406</v>
      </c>
      <c r="N83" s="11">
        <f>IF(Components!O83&gt;0,PPMT(EarningsRate,1,Components!$K83,0,-Components!O83*((1+InflationRate)^Components!$K83),0),M83)</f>
        <v>4235.6288003485406</v>
      </c>
      <c r="O83" s="11">
        <f>IF(Components!P83&gt;0,PPMT(EarningsRate,1,Components!$K83,0,-Components!P83*((1+InflationRate)^Components!$K83),0),N83)</f>
        <v>4235.6288003485406</v>
      </c>
      <c r="P83" s="11">
        <f>IF(Components!Q83&gt;0,PPMT(EarningsRate,1,Components!$K83,0,-Components!Q83*((1+InflationRate)^Components!$K83),0),O83)</f>
        <v>4235.6288003485406</v>
      </c>
      <c r="Q83" s="11">
        <f>IF(Components!R83&gt;0,PPMT(EarningsRate,1,Components!$K83,0,-Components!R83*((1+InflationRate)^Components!$K83),0),P83)</f>
        <v>4235.6288003485406</v>
      </c>
      <c r="R83" s="11">
        <f>IF(Components!S83&gt;0,PPMT(EarningsRate,1,Components!$K83,0,-Components!S83*((1+InflationRate)^Components!$K83),0),Q83)</f>
        <v>4235.6288003485406</v>
      </c>
      <c r="S83" s="11">
        <f>IF(Components!T83&gt;0,PPMT(EarningsRate,1,Components!$K83,0,-Components!T83*((1+InflationRate)^Components!$K83),0),R83)</f>
        <v>4235.6288003485406</v>
      </c>
      <c r="T83" s="11">
        <f>IF(Components!U83&gt;0,PPMT(EarningsRate,1,Components!$K83,0,-Components!U83*((1+InflationRate)^Components!$K83),0),S83)</f>
        <v>7096.1557581640991</v>
      </c>
      <c r="U83" s="11">
        <f>IF(Components!V83&gt;0,PPMT(EarningsRate,1,Components!$K83,0,-Components!V83*((1+InflationRate)^Components!$K83),0),T83)</f>
        <v>7096.1557581640991</v>
      </c>
      <c r="V83" s="11">
        <f>IF(Components!W83&gt;0,PPMT(EarningsRate,1,Components!$K83,0,-Components!W83*((1+InflationRate)^Components!$K83),0),U83)</f>
        <v>7096.1557581640991</v>
      </c>
      <c r="W83" s="11">
        <f>IF(Components!X83&gt;0,PPMT(EarningsRate,1,Components!$K83,0,-Components!X83*((1+InflationRate)^Components!$K83),0),V83)</f>
        <v>7096.1557581640991</v>
      </c>
      <c r="X83" s="11">
        <f>IF(Components!Y83&gt;0,PPMT(EarningsRate,1,Components!$K83,0,-Components!Y83*((1+InflationRate)^Components!$K83),0),W83)</f>
        <v>7096.1557581640991</v>
      </c>
      <c r="Y83" s="11">
        <f>IF(Components!Z83&gt;0,PPMT(EarningsRate,1,Components!$K83,0,-Components!Z83*((1+InflationRate)^Components!$K83),0),X83)</f>
        <v>7096.1557581640991</v>
      </c>
      <c r="Z83" s="11">
        <f>IF(Components!AA83&gt;0,PPMT(EarningsRate,1,Components!$K83,0,-Components!AA83*((1+InflationRate)^Components!$K83),0),Y83)</f>
        <v>7096.1557581640991</v>
      </c>
      <c r="AA83" s="11">
        <f>IF(Components!AB83&gt;0,PPMT(EarningsRate,1,Components!$K83,0,-Components!AB83*((1+InflationRate)^Components!$K83),0),Z83)</f>
        <v>7096.1557581640991</v>
      </c>
      <c r="AB83" s="11">
        <f>IF(Components!AC83&gt;0,PPMT(EarningsRate,1,Components!$K83,0,-Components!AC83*((1+InflationRate)^Components!$K83),0),AA83)</f>
        <v>7096.1557581640991</v>
      </c>
      <c r="AC83" s="11">
        <f>IF(Components!AD83&gt;0,PPMT(EarningsRate,1,Components!$K83,0,-Components!AD83*((1+InflationRate)^Components!$K83),0),AB83)</f>
        <v>7096.1557581640991</v>
      </c>
      <c r="AD83" s="11">
        <f>IF(Components!AE83&gt;0,PPMT(EarningsRate,1,Components!$K83,0,-Components!AE83*((1+InflationRate)^Components!$K83),0),AC83)</f>
        <v>7096.1557581640991</v>
      </c>
      <c r="AE83" s="11">
        <f>IF(Components!AF83&gt;0,PPMT(EarningsRate,1,Components!$K83,0,-Components!AF83*((1+InflationRate)^Components!$K83),0),AD83)</f>
        <v>7096.1557581640991</v>
      </c>
      <c r="AF83" s="11">
        <f>IF(Components!AG83&gt;0,PPMT(EarningsRate,1,Components!$K83,0,-Components!AG83*((1+InflationRate)^Components!$K83),0),AE83)</f>
        <v>7096.1557581640991</v>
      </c>
      <c r="AG83" s="11">
        <f>IF(Components!AH83&gt;0,PPMT(EarningsRate,1,Components!$K83,0,-Components!AH83*((1+InflationRate)^Components!$K83),0),AF83)</f>
        <v>7096.1557581640991</v>
      </c>
      <c r="AH83" s="11">
        <f>IF(Components!AI83&gt;0,PPMT(EarningsRate,1,Components!$K83,0,-Components!AI83*((1+InflationRate)^Components!$K83),0),AG83)</f>
        <v>7096.1557581640991</v>
      </c>
      <c r="AI83" s="11">
        <f>IF(Components!AJ83&gt;0,PPMT(EarningsRate,1,Components!$K83,0,-Components!AJ83*((1+InflationRate)^Components!$K83),0),AH83)</f>
        <v>11888.60966325763</v>
      </c>
      <c r="AJ83" s="11">
        <f>IF(Components!AK83&gt;0,PPMT(EarningsRate,1,Components!$K83,0,-Components!AK83*((1+InflationRate)^Components!$K83),0),AI83)</f>
        <v>11888.60966325763</v>
      </c>
      <c r="AK83" s="11">
        <f>IF(Components!AL83&gt;0,PPMT(EarningsRate,1,Components!$K83,0,-Components!AL83*((1+InflationRate)^Components!$K83),0),AJ83)</f>
        <v>11888.60966325763</v>
      </c>
      <c r="AL83" s="11">
        <f>IF(Components!AM83&gt;0,PPMT(EarningsRate,1,Components!$K83,0,-Components!AM83*((1+InflationRate)^Components!$K83),0),AK83)</f>
        <v>11888.60966325763</v>
      </c>
      <c r="AM83" s="11">
        <f>IF(Components!AN83&gt;0,PPMT(EarningsRate,1,Components!$K83,0,-Components!AN83*((1+InflationRate)^Components!$K83),0),AL83)</f>
        <v>11888.60966325763</v>
      </c>
      <c r="AN83" s="11">
        <f>IF(Components!AO83&gt;0,PPMT(EarningsRate,1,Components!$K83,0,-Components!AO83*((1+InflationRate)^Components!$K83),0),AM83)</f>
        <v>11888.60966325763</v>
      </c>
      <c r="AO83" s="11">
        <f>IF(Components!AP83&gt;0,PPMT(EarningsRate,1,Components!$K83,0,-Components!AP83*((1+InflationRate)^Components!$K83),0),AN83)</f>
        <v>11888.60966325763</v>
      </c>
      <c r="AP83" s="214"/>
      <c r="AQ83" s="11">
        <f t="shared" si="2"/>
        <v>227783.26331840176</v>
      </c>
    </row>
    <row r="84" spans="1:43" s="1" customFormat="1">
      <c r="A84" s="220" t="str">
        <f>Components!B84</f>
        <v>Restaurant</v>
      </c>
      <c r="B84" s="220" t="str">
        <f>Components!C84</f>
        <v>Banquet Room Carpet</v>
      </c>
      <c r="C84" s="211"/>
      <c r="D84" s="211"/>
      <c r="E84" s="211"/>
      <c r="F84" s="88"/>
      <c r="G84" s="212"/>
      <c r="H84" s="212"/>
      <c r="I84" s="212"/>
      <c r="J84" s="211"/>
      <c r="K84" s="11">
        <f>IF('FF Balance'!H84&gt;=0,PPMT(EarningsRate,1,Components!K84,0,-'FF Balance'!G84,0),0)</f>
        <v>2069.8226173857693</v>
      </c>
      <c r="L84" s="11">
        <f>IF(Components!M84&gt;0,PPMT(EarningsRate,1,Components!$K84,0,-Components!M84*((1+InflationRate)^Components!$K84),0),K84)</f>
        <v>2458.2999777872483</v>
      </c>
      <c r="M84" s="11">
        <f>IF(Components!N84&gt;0,PPMT(EarningsRate,1,Components!$K84,0,-Components!N84*((1+InflationRate)^Components!$K84),0),L84)</f>
        <v>2458.2999777872483</v>
      </c>
      <c r="N84" s="11">
        <f>IF(Components!O84&gt;0,PPMT(EarningsRate,1,Components!$K84,0,-Components!O84*((1+InflationRate)^Components!$K84),0),M84)</f>
        <v>2458.2999777872483</v>
      </c>
      <c r="O84" s="11">
        <f>IF(Components!P84&gt;0,PPMT(EarningsRate,1,Components!$K84,0,-Components!P84*((1+InflationRate)^Components!$K84),0),N84)</f>
        <v>2458.2999777872483</v>
      </c>
      <c r="P84" s="11">
        <f>IF(Components!Q84&gt;0,PPMT(EarningsRate,1,Components!$K84,0,-Components!Q84*((1+InflationRate)^Components!$K84),0),O84)</f>
        <v>2458.2999777872483</v>
      </c>
      <c r="Q84" s="11">
        <f>IF(Components!R84&gt;0,PPMT(EarningsRate,1,Components!$K84,0,-Components!R84*((1+InflationRate)^Components!$K84),0),P84)</f>
        <v>2919.5301691167369</v>
      </c>
      <c r="R84" s="11">
        <f>IF(Components!S84&gt;0,PPMT(EarningsRate,1,Components!$K84,0,-Components!S84*((1+InflationRate)^Components!$K84),0),Q84)</f>
        <v>2919.5301691167369</v>
      </c>
      <c r="S84" s="11">
        <f>IF(Components!T84&gt;0,PPMT(EarningsRate,1,Components!$K84,0,-Components!T84*((1+InflationRate)^Components!$K84),0),R84)</f>
        <v>2919.5301691167369</v>
      </c>
      <c r="T84" s="11">
        <f>IF(Components!U84&gt;0,PPMT(EarningsRate,1,Components!$K84,0,-Components!U84*((1+InflationRate)^Components!$K84),0),S84)</f>
        <v>2919.5301691167369</v>
      </c>
      <c r="U84" s="11">
        <f>IF(Components!V84&gt;0,PPMT(EarningsRate,1,Components!$K84,0,-Components!V84*((1+InflationRate)^Components!$K84),0),T84)</f>
        <v>2919.5301691167369</v>
      </c>
      <c r="V84" s="11">
        <f>IF(Components!W84&gt;0,PPMT(EarningsRate,1,Components!$K84,0,-Components!W84*((1+InflationRate)^Components!$K84),0),U84)</f>
        <v>3467.5399668148862</v>
      </c>
      <c r="W84" s="11">
        <f>IF(Components!X84&gt;0,PPMT(EarningsRate,1,Components!$K84,0,-Components!X84*((1+InflationRate)^Components!$K84),0),V84)</f>
        <v>3467.5399668148862</v>
      </c>
      <c r="X84" s="11">
        <f>IF(Components!Y84&gt;0,PPMT(EarningsRate,1,Components!$K84,0,-Components!Y84*((1+InflationRate)^Components!$K84),0),W84)</f>
        <v>3467.5399668148862</v>
      </c>
      <c r="Y84" s="11">
        <f>IF(Components!Z84&gt;0,PPMT(EarningsRate,1,Components!$K84,0,-Components!Z84*((1+InflationRate)^Components!$K84),0),X84)</f>
        <v>3467.5399668148862</v>
      </c>
      <c r="Z84" s="11">
        <f>IF(Components!AA84&gt;0,PPMT(EarningsRate,1,Components!$K84,0,-Components!AA84*((1+InflationRate)^Components!$K84),0),Y84)</f>
        <v>3467.5399668148862</v>
      </c>
      <c r="AA84" s="11">
        <f>IF(Components!AB84&gt;0,PPMT(EarningsRate,1,Components!$K84,0,-Components!AB84*((1+InflationRate)^Components!$K84),0),Z84)</f>
        <v>4118.2731305819725</v>
      </c>
      <c r="AB84" s="11">
        <f>IF(Components!AC84&gt;0,PPMT(EarningsRate,1,Components!$K84,0,-Components!AC84*((1+InflationRate)^Components!$K84),0),AA84)</f>
        <v>4118.2731305819725</v>
      </c>
      <c r="AC84" s="11">
        <f>IF(Components!AD84&gt;0,PPMT(EarningsRate,1,Components!$K84,0,-Components!AD84*((1+InflationRate)^Components!$K84),0),AB84)</f>
        <v>4118.2731305819725</v>
      </c>
      <c r="AD84" s="11">
        <f>IF(Components!AE84&gt;0,PPMT(EarningsRate,1,Components!$K84,0,-Components!AE84*((1+InflationRate)^Components!$K84),0),AC84)</f>
        <v>4118.2731305819725</v>
      </c>
      <c r="AE84" s="11">
        <f>IF(Components!AF84&gt;0,PPMT(EarningsRate,1,Components!$K84,0,-Components!AF84*((1+InflationRate)^Components!$K84),0),AD84)</f>
        <v>4118.2731305819725</v>
      </c>
      <c r="AF84" s="11">
        <f>IF(Components!AG84&gt;0,PPMT(EarningsRate,1,Components!$K84,0,-Components!AG84*((1+InflationRate)^Components!$K84),0),AE84)</f>
        <v>4891.317708049769</v>
      </c>
      <c r="AG84" s="11">
        <f>IF(Components!AH84&gt;0,PPMT(EarningsRate,1,Components!$K84,0,-Components!AH84*((1+InflationRate)^Components!$K84),0),AF84)</f>
        <v>4891.317708049769</v>
      </c>
      <c r="AH84" s="11">
        <f>IF(Components!AI84&gt;0,PPMT(EarningsRate,1,Components!$K84,0,-Components!AI84*((1+InflationRate)^Components!$K84),0),AG84)</f>
        <v>4891.317708049769</v>
      </c>
      <c r="AI84" s="11">
        <f>IF(Components!AJ84&gt;0,PPMT(EarningsRate,1,Components!$K84,0,-Components!AJ84*((1+InflationRate)^Components!$K84),0),AH84)</f>
        <v>4891.317708049769</v>
      </c>
      <c r="AJ84" s="11">
        <f>IF(Components!AK84&gt;0,PPMT(EarningsRate,1,Components!$K84,0,-Components!AK84*((1+InflationRate)^Components!$K84),0),AI84)</f>
        <v>4891.317708049769</v>
      </c>
      <c r="AK84" s="11">
        <f>IF(Components!AL84&gt;0,PPMT(EarningsRate,1,Components!$K84,0,-Components!AL84*((1+InflationRate)^Components!$K84),0),AJ84)</f>
        <v>5809.4504987901</v>
      </c>
      <c r="AL84" s="11">
        <f>IF(Components!AM84&gt;0,PPMT(EarningsRate,1,Components!$K84,0,-Components!AM84*((1+InflationRate)^Components!$K84),0),AK84)</f>
        <v>5809.4504987901</v>
      </c>
      <c r="AM84" s="11">
        <f>IF(Components!AN84&gt;0,PPMT(EarningsRate,1,Components!$K84,0,-Components!AN84*((1+InflationRate)^Components!$K84),0),AL84)</f>
        <v>5809.4504987901</v>
      </c>
      <c r="AN84" s="11">
        <f>IF(Components!AO84&gt;0,PPMT(EarningsRate,1,Components!$K84,0,-Components!AO84*((1+InflationRate)^Components!$K84),0),AM84)</f>
        <v>5809.4504987901</v>
      </c>
      <c r="AO84" s="11">
        <f>IF(Components!AP84&gt;0,PPMT(EarningsRate,1,Components!$K84,0,-Components!AP84*((1+InflationRate)^Components!$K84),0),AN84)</f>
        <v>5809.4504987901</v>
      </c>
      <c r="AP84" s="214"/>
      <c r="AQ84" s="11">
        <f t="shared" si="2"/>
        <v>120391.87997308938</v>
      </c>
    </row>
    <row r="85" spans="1:43" s="1" customFormat="1">
      <c r="A85" s="220" t="str">
        <f>Components!B85</f>
        <v>Restaurant</v>
      </c>
      <c r="B85" s="220" t="str">
        <f>Components!C85</f>
        <v>Banquet Room chairs</v>
      </c>
      <c r="C85" s="211"/>
      <c r="D85" s="211"/>
      <c r="E85" s="211"/>
      <c r="F85" s="88"/>
      <c r="G85" s="212"/>
      <c r="H85" s="212"/>
      <c r="I85" s="212"/>
      <c r="J85" s="211"/>
      <c r="K85" s="11">
        <f>IF('FF Balance'!H85&gt;=0,PPMT(EarningsRate,1,Components!K85,0,-'FF Balance'!G85,0),0)</f>
        <v>594.64097549626536</v>
      </c>
      <c r="L85" s="11">
        <f>IF(Components!M85&gt;0,PPMT(EarningsRate,1,Components!$K85,0,-Components!M85*((1+InflationRate)^Components!$K85),0),K85)</f>
        <v>594.64097549626536</v>
      </c>
      <c r="M85" s="11">
        <f>IF(Components!N85&gt;0,PPMT(EarningsRate,1,Components!$K85,0,-Components!N85*((1+InflationRate)^Components!$K85),0),L85)</f>
        <v>594.64097549626536</v>
      </c>
      <c r="N85" s="11">
        <f>IF(Components!O85&gt;0,PPMT(EarningsRate,1,Components!$K85,0,-Components!O85*((1+InflationRate)^Components!$K85),0),M85)</f>
        <v>838.79982304956627</v>
      </c>
      <c r="O85" s="11">
        <f>IF(Components!P85&gt;0,PPMT(EarningsRate,1,Components!$K85,0,-Components!P85*((1+InflationRate)^Components!$K85),0),N85)</f>
        <v>838.79982304956627</v>
      </c>
      <c r="P85" s="11">
        <f>IF(Components!Q85&gt;0,PPMT(EarningsRate,1,Components!$K85,0,-Components!Q85*((1+InflationRate)^Components!$K85),0),O85)</f>
        <v>838.79982304956627</v>
      </c>
      <c r="Q85" s="11">
        <f>IF(Components!R85&gt;0,PPMT(EarningsRate,1,Components!$K85,0,-Components!R85*((1+InflationRate)^Components!$K85),0),P85)</f>
        <v>838.79982304956627</v>
      </c>
      <c r="R85" s="11">
        <f>IF(Components!S85&gt;0,PPMT(EarningsRate,1,Components!$K85,0,-Components!S85*((1+InflationRate)^Components!$K85),0),Q85)</f>
        <v>838.79982304956627</v>
      </c>
      <c r="S85" s="11">
        <f>IF(Components!T85&gt;0,PPMT(EarningsRate,1,Components!$K85,0,-Components!T85*((1+InflationRate)^Components!$K85),0),R85)</f>
        <v>838.79982304956627</v>
      </c>
      <c r="T85" s="11">
        <f>IF(Components!U85&gt;0,PPMT(EarningsRate,1,Components!$K85,0,-Components!U85*((1+InflationRate)^Components!$K85),0),S85)</f>
        <v>838.79982304956627</v>
      </c>
      <c r="U85" s="11">
        <f>IF(Components!V85&gt;0,PPMT(EarningsRate,1,Components!$K85,0,-Components!V85*((1+InflationRate)^Components!$K85),0),T85)</f>
        <v>838.79982304956627</v>
      </c>
      <c r="V85" s="11">
        <f>IF(Components!W85&gt;0,PPMT(EarningsRate,1,Components!$K85,0,-Components!W85*((1+InflationRate)^Components!$K85),0),U85)</f>
        <v>838.79982304956627</v>
      </c>
      <c r="W85" s="11">
        <f>IF(Components!X85&gt;0,PPMT(EarningsRate,1,Components!$K85,0,-Components!X85*((1+InflationRate)^Components!$K85),0),V85)</f>
        <v>838.79982304956627</v>
      </c>
      <c r="X85" s="11">
        <f>IF(Components!Y85&gt;0,PPMT(EarningsRate,1,Components!$K85,0,-Components!Y85*((1+InflationRate)^Components!$K85),0),W85)</f>
        <v>1183.2450645586832</v>
      </c>
      <c r="Y85" s="11">
        <f>IF(Components!Z85&gt;0,PPMT(EarningsRate,1,Components!$K85,0,-Components!Z85*((1+InflationRate)^Components!$K85),0),X85)</f>
        <v>1183.2450645586832</v>
      </c>
      <c r="Z85" s="11">
        <f>IF(Components!AA85&gt;0,PPMT(EarningsRate,1,Components!$K85,0,-Components!AA85*((1+InflationRate)^Components!$K85),0),Y85)</f>
        <v>1183.2450645586832</v>
      </c>
      <c r="AA85" s="11">
        <f>IF(Components!AB85&gt;0,PPMT(EarningsRate,1,Components!$K85,0,-Components!AB85*((1+InflationRate)^Components!$K85),0),Z85)</f>
        <v>1183.2450645586832</v>
      </c>
      <c r="AB85" s="11">
        <f>IF(Components!AC85&gt;0,PPMT(EarningsRate,1,Components!$K85,0,-Components!AC85*((1+InflationRate)^Components!$K85),0),AA85)</f>
        <v>1183.2450645586832</v>
      </c>
      <c r="AC85" s="11">
        <f>IF(Components!AD85&gt;0,PPMT(EarningsRate,1,Components!$K85,0,-Components!AD85*((1+InflationRate)^Components!$K85),0),AB85)</f>
        <v>1183.2450645586832</v>
      </c>
      <c r="AD85" s="11">
        <f>IF(Components!AE85&gt;0,PPMT(EarningsRate,1,Components!$K85,0,-Components!AE85*((1+InflationRate)^Components!$K85),0),AC85)</f>
        <v>1183.2450645586832</v>
      </c>
      <c r="AE85" s="11">
        <f>IF(Components!AF85&gt;0,PPMT(EarningsRate,1,Components!$K85,0,-Components!AF85*((1+InflationRate)^Components!$K85),0),AD85)</f>
        <v>1183.2450645586832</v>
      </c>
      <c r="AF85" s="11">
        <f>IF(Components!AG85&gt;0,PPMT(EarningsRate,1,Components!$K85,0,-Components!AG85*((1+InflationRate)^Components!$K85),0),AE85)</f>
        <v>1183.2450645586832</v>
      </c>
      <c r="AG85" s="11">
        <f>IF(Components!AH85&gt;0,PPMT(EarningsRate,1,Components!$K85,0,-Components!AH85*((1+InflationRate)^Components!$K85),0),AF85)</f>
        <v>1183.2450645586832</v>
      </c>
      <c r="AH85" s="11">
        <f>IF(Components!AI85&gt;0,PPMT(EarningsRate,1,Components!$K85,0,-Components!AI85*((1+InflationRate)^Components!$K85),0),AG85)</f>
        <v>1669.1359878937708</v>
      </c>
      <c r="AI85" s="11">
        <f>IF(Components!AJ85&gt;0,PPMT(EarningsRate,1,Components!$K85,0,-Components!AJ85*((1+InflationRate)^Components!$K85),0),AH85)</f>
        <v>1669.1359878937708</v>
      </c>
      <c r="AJ85" s="11">
        <f>IF(Components!AK85&gt;0,PPMT(EarningsRate,1,Components!$K85,0,-Components!AK85*((1+InflationRate)^Components!$K85),0),AI85)</f>
        <v>1669.1359878937708</v>
      </c>
      <c r="AK85" s="11">
        <f>IF(Components!AL85&gt;0,PPMT(EarningsRate,1,Components!$K85,0,-Components!AL85*((1+InflationRate)^Components!$K85),0),AJ85)</f>
        <v>1669.1359878937708</v>
      </c>
      <c r="AL85" s="11">
        <f>IF(Components!AM85&gt;0,PPMT(EarningsRate,1,Components!$K85,0,-Components!AM85*((1+InflationRate)^Components!$K85),0),AK85)</f>
        <v>1669.1359878937708</v>
      </c>
      <c r="AM85" s="11">
        <f>IF(Components!AN85&gt;0,PPMT(EarningsRate,1,Components!$K85,0,-Components!AN85*((1+InflationRate)^Components!$K85),0),AL85)</f>
        <v>1669.1359878937708</v>
      </c>
      <c r="AN85" s="11">
        <f>IF(Components!AO85&gt;0,PPMT(EarningsRate,1,Components!$K85,0,-Components!AO85*((1+InflationRate)^Components!$K85),0),AM85)</f>
        <v>1669.1359878937708</v>
      </c>
      <c r="AO85" s="11">
        <f>IF(Components!AP85&gt;0,PPMT(EarningsRate,1,Components!$K85,0,-Components!AP85*((1+InflationRate)^Components!$K85),0),AN85)</f>
        <v>1669.1359878937708</v>
      </c>
      <c r="AP85" s="214"/>
      <c r="AQ85" s="11">
        <f t="shared" si="2"/>
        <v>35357.459805721446</v>
      </c>
    </row>
    <row r="86" spans="1:43" s="1" customFormat="1">
      <c r="A86" s="220" t="str">
        <f>Components!B86</f>
        <v>Restaurant</v>
      </c>
      <c r="B86" s="220" t="str">
        <f>Components!C86</f>
        <v>Chef's Serving Table</v>
      </c>
      <c r="C86" s="211"/>
      <c r="D86" s="211"/>
      <c r="E86" s="211"/>
      <c r="F86" s="88"/>
      <c r="G86" s="212"/>
      <c r="H86" s="212"/>
      <c r="I86" s="212"/>
      <c r="J86" s="211"/>
      <c r="K86" s="11">
        <f>IF('FF Balance'!H86&gt;=0,PPMT(EarningsRate,1,Components!K86,0,-'FF Balance'!G86,0),0)</f>
        <v>3648.619304650877</v>
      </c>
      <c r="L86" s="11">
        <f>IF(Components!M86&gt;0,PPMT(EarningsRate,1,Components!$K86,0,-Components!M86*((1+InflationRate)^Components!$K86),0),K86)</f>
        <v>3648.619304650877</v>
      </c>
      <c r="M86" s="11">
        <f>IF(Components!N86&gt;0,PPMT(EarningsRate,1,Components!$K86,0,-Components!N86*((1+InflationRate)^Components!$K86),0),L86)</f>
        <v>3648.619304650877</v>
      </c>
      <c r="N86" s="11">
        <f>IF(Components!O86&gt;0,PPMT(EarningsRate,1,Components!$K86,0,-Components!O86*((1+InflationRate)^Components!$K86),0),M86)</f>
        <v>3648.619304650877</v>
      </c>
      <c r="O86" s="11">
        <f>IF(Components!P86&gt;0,PPMT(EarningsRate,1,Components!$K86,0,-Components!P86*((1+InflationRate)^Components!$K86),0),N86)</f>
        <v>3648.619304650877</v>
      </c>
      <c r="P86" s="11">
        <f>IF(Components!Q86&gt;0,PPMT(EarningsRate,1,Components!$K86,0,-Components!Q86*((1+InflationRate)^Components!$K86),0),O86)</f>
        <v>3648.619304650877</v>
      </c>
      <c r="Q86" s="11">
        <f>IF(Components!R86&gt;0,PPMT(EarningsRate,1,Components!$K86,0,-Components!R86*((1+InflationRate)^Components!$K86),0),P86)</f>
        <v>3648.619304650877</v>
      </c>
      <c r="R86" s="11">
        <f>IF(Components!S86&gt;0,PPMT(EarningsRate,1,Components!$K86,0,-Components!S86*((1+InflationRate)^Components!$K86),0),Q86)</f>
        <v>3648.619304650877</v>
      </c>
      <c r="S86" s="11">
        <f>IF(Components!T86&gt;0,PPMT(EarningsRate,1,Components!$K86,0,-Components!T86*((1+InflationRate)^Components!$K86),0),R86)</f>
        <v>3648.619304650877</v>
      </c>
      <c r="T86" s="11">
        <f>IF(Components!U86&gt;0,PPMT(EarningsRate,1,Components!$K86,0,-Components!U86*((1+InflationRate)^Components!$K86),0),S86)</f>
        <v>3648.619304650877</v>
      </c>
      <c r="U86" s="11">
        <f>IF(Components!V86&gt;0,PPMT(EarningsRate,1,Components!$K86,0,-Components!V86*((1+InflationRate)^Components!$K86),0),T86)</f>
        <v>3648.619304650877</v>
      </c>
      <c r="V86" s="11">
        <f>IF(Components!W86&gt;0,PPMT(EarningsRate,1,Components!$K86,0,-Components!W86*((1+InflationRate)^Components!$K86),0),U86)</f>
        <v>3648.619304650877</v>
      </c>
      <c r="W86" s="11">
        <f>IF(Components!X86&gt;0,PPMT(EarningsRate,1,Components!$K86,0,-Components!X86*((1+InflationRate)^Components!$K86),0),V86)</f>
        <v>3648.619304650877</v>
      </c>
      <c r="X86" s="11">
        <f>IF(Components!Y86&gt;0,PPMT(EarningsRate,1,Components!$K86,0,-Components!Y86*((1+InflationRate)^Components!$K86),0),W86)</f>
        <v>3648.619304650877</v>
      </c>
      <c r="Y86" s="11">
        <f>IF(Components!Z86&gt;0,PPMT(EarningsRate,1,Components!$K86,0,-Components!Z86*((1+InflationRate)^Components!$K86),0),X86)</f>
        <v>3648.619304650877</v>
      </c>
      <c r="Z86" s="11">
        <f>IF(Components!AA86&gt;0,PPMT(EarningsRate,1,Components!$K86,0,-Components!AA86*((1+InflationRate)^Components!$K86),0),Y86)</f>
        <v>3648.619304650877</v>
      </c>
      <c r="AA86" s="11">
        <f>IF(Components!AB86&gt;0,PPMT(EarningsRate,1,Components!$K86,0,-Components!AB86*((1+InflationRate)^Components!$K86),0),Z86)</f>
        <v>3648.619304650877</v>
      </c>
      <c r="AB86" s="11">
        <f>IF(Components!AC86&gt;0,PPMT(EarningsRate,1,Components!$K86,0,-Components!AC86*((1+InflationRate)^Components!$K86),0),AA86)</f>
        <v>3648.619304650877</v>
      </c>
      <c r="AC86" s="11">
        <f>IF(Components!AD86&gt;0,PPMT(EarningsRate,1,Components!$K86,0,-Components!AD86*((1+InflationRate)^Components!$K86),0),AB86)</f>
        <v>3648.619304650877</v>
      </c>
      <c r="AD86" s="11">
        <f>IF(Components!AE86&gt;0,PPMT(EarningsRate,1,Components!$K86,0,-Components!AE86*((1+InflationRate)^Components!$K86),0),AC86)</f>
        <v>3648.619304650877</v>
      </c>
      <c r="AE86" s="11">
        <f>IF(Components!AF86&gt;0,PPMT(EarningsRate,1,Components!$K86,0,-Components!AF86*((1+InflationRate)^Components!$K86),0),AD86)</f>
        <v>7259.9820594208013</v>
      </c>
      <c r="AF86" s="11">
        <f>IF(Components!AG86&gt;0,PPMT(EarningsRate,1,Components!$K86,0,-Components!AG86*((1+InflationRate)^Components!$K86),0),AE86)</f>
        <v>7259.9820594208013</v>
      </c>
      <c r="AG86" s="11">
        <f>IF(Components!AH86&gt;0,PPMT(EarningsRate,1,Components!$K86,0,-Components!AH86*((1+InflationRate)^Components!$K86),0),AF86)</f>
        <v>7259.9820594208013</v>
      </c>
      <c r="AH86" s="11">
        <f>IF(Components!AI86&gt;0,PPMT(EarningsRate,1,Components!$K86,0,-Components!AI86*((1+InflationRate)^Components!$K86),0),AG86)</f>
        <v>7259.9820594208013</v>
      </c>
      <c r="AI86" s="11">
        <f>IF(Components!AJ86&gt;0,PPMT(EarningsRate,1,Components!$K86,0,-Components!AJ86*((1+InflationRate)^Components!$K86),0),AH86)</f>
        <v>7259.9820594208013</v>
      </c>
      <c r="AJ86" s="11">
        <f>IF(Components!AK86&gt;0,PPMT(EarningsRate,1,Components!$K86,0,-Components!AK86*((1+InflationRate)^Components!$K86),0),AI86)</f>
        <v>7259.9820594208013</v>
      </c>
      <c r="AK86" s="11">
        <f>IF(Components!AL86&gt;0,PPMT(EarningsRate,1,Components!$K86,0,-Components!AL86*((1+InflationRate)^Components!$K86),0),AJ86)</f>
        <v>7259.9820594208013</v>
      </c>
      <c r="AL86" s="11">
        <f>IF(Components!AM86&gt;0,PPMT(EarningsRate,1,Components!$K86,0,-Components!AM86*((1+InflationRate)^Components!$K86),0),AK86)</f>
        <v>7259.9820594208013</v>
      </c>
      <c r="AM86" s="11">
        <f>IF(Components!AN86&gt;0,PPMT(EarningsRate,1,Components!$K86,0,-Components!AN86*((1+InflationRate)^Components!$K86),0),AL86)</f>
        <v>7259.9820594208013</v>
      </c>
      <c r="AN86" s="11">
        <f>IF(Components!AO86&gt;0,PPMT(EarningsRate,1,Components!$K86,0,-Components!AO86*((1+InflationRate)^Components!$K86),0),AM86)</f>
        <v>7259.9820594208013</v>
      </c>
      <c r="AO86" s="11">
        <f>IF(Components!AP86&gt;0,PPMT(EarningsRate,1,Components!$K86,0,-Components!AP86*((1+InflationRate)^Components!$K86),0),AN86)</f>
        <v>7259.9820594208013</v>
      </c>
      <c r="AP86" s="214"/>
      <c r="AQ86" s="11">
        <f t="shared" si="2"/>
        <v>152832.18884664637</v>
      </c>
    </row>
    <row r="87" spans="1:43" s="1" customFormat="1">
      <c r="A87" s="220" t="str">
        <f>Components!B87</f>
        <v>Restaurant</v>
      </c>
      <c r="B87" s="220" t="str">
        <f>Components!C87</f>
        <v xml:space="preserve">Dining Room chairs </v>
      </c>
      <c r="C87" s="211"/>
      <c r="D87" s="211"/>
      <c r="E87" s="211"/>
      <c r="F87" s="88"/>
      <c r="G87" s="212"/>
      <c r="H87" s="212"/>
      <c r="I87" s="212"/>
      <c r="J87" s="211"/>
      <c r="K87" s="11">
        <f>IF('FF Balance'!H87&gt;=0,PPMT(EarningsRate,1,Components!K87,0,-'FF Balance'!G87,0),0)</f>
        <v>2019.7599953085164</v>
      </c>
      <c r="L87" s="11">
        <f>IF(Components!M87&gt;0,PPMT(EarningsRate,1,Components!$K87,0,-Components!M87*((1+InflationRate)^Components!$K87),0),K87)</f>
        <v>2019.7599953085164</v>
      </c>
      <c r="M87" s="11">
        <f>IF(Components!N87&gt;0,PPMT(EarningsRate,1,Components!$K87,0,-Components!N87*((1+InflationRate)^Components!$K87),0),L87)</f>
        <v>2019.7599953085164</v>
      </c>
      <c r="N87" s="11">
        <f>IF(Components!O87&gt;0,PPMT(EarningsRate,1,Components!$K87,0,-Components!O87*((1+InflationRate)^Components!$K87),0),M87)</f>
        <v>2019.7599953085164</v>
      </c>
      <c r="O87" s="11">
        <f>IF(Components!P87&gt;0,PPMT(EarningsRate,1,Components!$K87,0,-Components!P87*((1+InflationRate)^Components!$K87),0),N87)</f>
        <v>2019.7599953085164</v>
      </c>
      <c r="P87" s="11">
        <f>IF(Components!Q87&gt;0,PPMT(EarningsRate,1,Components!$K87,0,-Components!Q87*((1+InflationRate)^Components!$K87),0),O87)</f>
        <v>2019.7599953085164</v>
      </c>
      <c r="Q87" s="11">
        <f>IF(Components!R87&gt;0,PPMT(EarningsRate,1,Components!$K87,0,-Components!R87*((1+InflationRate)^Components!$K87),0),P87)</f>
        <v>2019.7599953085164</v>
      </c>
      <c r="R87" s="11">
        <f>IF(Components!S87&gt;0,PPMT(EarningsRate,1,Components!$K87,0,-Components!S87*((1+InflationRate)^Components!$K87),0),Q87)</f>
        <v>2019.7599953085164</v>
      </c>
      <c r="S87" s="11">
        <f>IF(Components!T87&gt;0,PPMT(EarningsRate,1,Components!$K87,0,-Components!T87*((1+InflationRate)^Components!$K87),0),R87)</f>
        <v>3383.8025465401101</v>
      </c>
      <c r="T87" s="11">
        <f>IF(Components!U87&gt;0,PPMT(EarningsRate,1,Components!$K87,0,-Components!U87*((1+InflationRate)^Components!$K87),0),S87)</f>
        <v>3383.8025465401101</v>
      </c>
      <c r="U87" s="11">
        <f>IF(Components!V87&gt;0,PPMT(EarningsRate,1,Components!$K87,0,-Components!V87*((1+InflationRate)^Components!$K87),0),T87)</f>
        <v>3383.8025465401101</v>
      </c>
      <c r="V87" s="11">
        <f>IF(Components!W87&gt;0,PPMT(EarningsRate,1,Components!$K87,0,-Components!W87*((1+InflationRate)^Components!$K87),0),U87)</f>
        <v>3383.8025465401101</v>
      </c>
      <c r="W87" s="11">
        <f>IF(Components!X87&gt;0,PPMT(EarningsRate,1,Components!$K87,0,-Components!X87*((1+InflationRate)^Components!$K87),0),V87)</f>
        <v>3383.8025465401101</v>
      </c>
      <c r="X87" s="11">
        <f>IF(Components!Y87&gt;0,PPMT(EarningsRate,1,Components!$K87,0,-Components!Y87*((1+InflationRate)^Components!$K87),0),W87)</f>
        <v>3383.8025465401101</v>
      </c>
      <c r="Y87" s="11">
        <f>IF(Components!Z87&gt;0,PPMT(EarningsRate,1,Components!$K87,0,-Components!Z87*((1+InflationRate)^Components!$K87),0),X87)</f>
        <v>3383.8025465401101</v>
      </c>
      <c r="Z87" s="11">
        <f>IF(Components!AA87&gt;0,PPMT(EarningsRate,1,Components!$K87,0,-Components!AA87*((1+InflationRate)^Components!$K87),0),Y87)</f>
        <v>3383.8025465401101</v>
      </c>
      <c r="AA87" s="11">
        <f>IF(Components!AB87&gt;0,PPMT(EarningsRate,1,Components!$K87,0,-Components!AB87*((1+InflationRate)^Components!$K87),0),Z87)</f>
        <v>3383.8025465401101</v>
      </c>
      <c r="AB87" s="11">
        <f>IF(Components!AC87&gt;0,PPMT(EarningsRate,1,Components!$K87,0,-Components!AC87*((1+InflationRate)^Components!$K87),0),AA87)</f>
        <v>3383.8025465401101</v>
      </c>
      <c r="AC87" s="11">
        <f>IF(Components!AD87&gt;0,PPMT(EarningsRate,1,Components!$K87,0,-Components!AD87*((1+InflationRate)^Components!$K87),0),AB87)</f>
        <v>3383.8025465401101</v>
      </c>
      <c r="AD87" s="11">
        <f>IF(Components!AE87&gt;0,PPMT(EarningsRate,1,Components!$K87,0,-Components!AE87*((1+InflationRate)^Components!$K87),0),AC87)</f>
        <v>3383.8025465401101</v>
      </c>
      <c r="AE87" s="11">
        <f>IF(Components!AF87&gt;0,PPMT(EarningsRate,1,Components!$K87,0,-Components!AF87*((1+InflationRate)^Components!$K87),0),AD87)</f>
        <v>3383.8025465401101</v>
      </c>
      <c r="AF87" s="11">
        <f>IF(Components!AG87&gt;0,PPMT(EarningsRate,1,Components!$K87,0,-Components!AG87*((1+InflationRate)^Components!$K87),0),AE87)</f>
        <v>3383.8025465401101</v>
      </c>
      <c r="AG87" s="11">
        <f>IF(Components!AH87&gt;0,PPMT(EarningsRate,1,Components!$K87,0,-Components!AH87*((1+InflationRate)^Components!$K87),0),AF87)</f>
        <v>3383.8025465401101</v>
      </c>
      <c r="AH87" s="11">
        <f>IF(Components!AI87&gt;0,PPMT(EarningsRate,1,Components!$K87,0,-Components!AI87*((1+InflationRate)^Components!$K87),0),AG87)</f>
        <v>5669.1340316273581</v>
      </c>
      <c r="AI87" s="11">
        <f>IF(Components!AJ87&gt;0,PPMT(EarningsRate,1,Components!$K87,0,-Components!AJ87*((1+InflationRate)^Components!$K87),0),AH87)</f>
        <v>5669.1340316273581</v>
      </c>
      <c r="AJ87" s="11">
        <f>IF(Components!AK87&gt;0,PPMT(EarningsRate,1,Components!$K87,0,-Components!AK87*((1+InflationRate)^Components!$K87),0),AI87)</f>
        <v>5669.1340316273581</v>
      </c>
      <c r="AK87" s="11">
        <f>IF(Components!AL87&gt;0,PPMT(EarningsRate,1,Components!$K87,0,-Components!AL87*((1+InflationRate)^Components!$K87),0),AJ87)</f>
        <v>5669.1340316273581</v>
      </c>
      <c r="AL87" s="11">
        <f>IF(Components!AM87&gt;0,PPMT(EarningsRate,1,Components!$K87,0,-Components!AM87*((1+InflationRate)^Components!$K87),0),AK87)</f>
        <v>5669.1340316273581</v>
      </c>
      <c r="AM87" s="11">
        <f>IF(Components!AN87&gt;0,PPMT(EarningsRate,1,Components!$K87,0,-Components!AN87*((1+InflationRate)^Components!$K87),0),AL87)</f>
        <v>5669.1340316273581</v>
      </c>
      <c r="AN87" s="11">
        <f>IF(Components!AO87&gt;0,PPMT(EarningsRate,1,Components!$K87,0,-Components!AO87*((1+InflationRate)^Components!$K87),0),AM87)</f>
        <v>5669.1340316273581</v>
      </c>
      <c r="AO87" s="11">
        <f>IF(Components!AP87&gt;0,PPMT(EarningsRate,1,Components!$K87,0,-Components!AP87*((1+InflationRate)^Components!$K87),0),AN87)</f>
        <v>5669.1340316273581</v>
      </c>
      <c r="AP87" s="214"/>
      <c r="AQ87" s="11">
        <f t="shared" si="2"/>
        <v>112268.19051358862</v>
      </c>
    </row>
    <row r="88" spans="1:43" s="1" customFormat="1">
      <c r="A88" s="220" t="str">
        <f>Components!B88</f>
        <v>Restaurant</v>
      </c>
      <c r="B88" s="220" t="str">
        <f>Components!C88</f>
        <v>Freezer Evaporative Coil</v>
      </c>
      <c r="C88" s="211"/>
      <c r="D88" s="211"/>
      <c r="E88" s="211"/>
      <c r="F88" s="88"/>
      <c r="G88" s="212"/>
      <c r="H88" s="212"/>
      <c r="I88" s="212"/>
      <c r="J88" s="211"/>
      <c r="K88" s="11">
        <f>IF('FF Balance'!H88&gt;=0,PPMT(EarningsRate,1,Components!K88,0,-'FF Balance'!G88,0),0)</f>
        <v>683.39557114867205</v>
      </c>
      <c r="L88" s="11">
        <f>IF(Components!M88&gt;0,PPMT(EarningsRate,1,Components!$K88,0,-Components!M88*((1+InflationRate)^Components!$K88),0),K88)</f>
        <v>683.39557114867205</v>
      </c>
      <c r="M88" s="11">
        <f>IF(Components!N88&gt;0,PPMT(EarningsRate,1,Components!$K88,0,-Components!N88*((1+InflationRate)^Components!$K88),0),L88)</f>
        <v>683.39557114867205</v>
      </c>
      <c r="N88" s="11">
        <f>IF(Components!O88&gt;0,PPMT(EarningsRate,1,Components!$K88,0,-Components!O88*((1+InflationRate)^Components!$K88),0),M88)</f>
        <v>683.39557114867205</v>
      </c>
      <c r="O88" s="11">
        <f>IF(Components!P88&gt;0,PPMT(EarningsRate,1,Components!$K88,0,-Components!P88*((1+InflationRate)^Components!$K88),0),N88)</f>
        <v>683.39557114867205</v>
      </c>
      <c r="P88" s="11">
        <f>IF(Components!Q88&gt;0,PPMT(EarningsRate,1,Components!$K88,0,-Components!Q88*((1+InflationRate)^Components!$K88),0),O88)</f>
        <v>683.39557114867205</v>
      </c>
      <c r="Q88" s="11">
        <f>IF(Components!R88&gt;0,PPMT(EarningsRate,1,Components!$K88,0,-Components!R88*((1+InflationRate)^Components!$K88),0),P88)</f>
        <v>683.39557114867205</v>
      </c>
      <c r="R88" s="11">
        <f>IF(Components!S88&gt;0,PPMT(EarningsRate,1,Components!$K88,0,-Components!S88*((1+InflationRate)^Components!$K88),0),Q88)</f>
        <v>683.39557114867205</v>
      </c>
      <c r="S88" s="11">
        <f>IF(Components!T88&gt;0,PPMT(EarningsRate,1,Components!$K88,0,-Components!T88*((1+InflationRate)^Components!$K88),0),R88)</f>
        <v>1144.925971065132</v>
      </c>
      <c r="T88" s="11">
        <f>IF(Components!U88&gt;0,PPMT(EarningsRate,1,Components!$K88,0,-Components!U88*((1+InflationRate)^Components!$K88),0),S88)</f>
        <v>1144.925971065132</v>
      </c>
      <c r="U88" s="11">
        <f>IF(Components!V88&gt;0,PPMT(EarningsRate,1,Components!$K88,0,-Components!V88*((1+InflationRate)^Components!$K88),0),T88)</f>
        <v>1144.925971065132</v>
      </c>
      <c r="V88" s="11">
        <f>IF(Components!W88&gt;0,PPMT(EarningsRate,1,Components!$K88,0,-Components!W88*((1+InflationRate)^Components!$K88),0),U88)</f>
        <v>1144.925971065132</v>
      </c>
      <c r="W88" s="11">
        <f>IF(Components!X88&gt;0,PPMT(EarningsRate,1,Components!$K88,0,-Components!X88*((1+InflationRate)^Components!$K88),0),V88)</f>
        <v>1144.925971065132</v>
      </c>
      <c r="X88" s="11">
        <f>IF(Components!Y88&gt;0,PPMT(EarningsRate,1,Components!$K88,0,-Components!Y88*((1+InflationRate)^Components!$K88),0),W88)</f>
        <v>1144.925971065132</v>
      </c>
      <c r="Y88" s="11">
        <f>IF(Components!Z88&gt;0,PPMT(EarningsRate,1,Components!$K88,0,-Components!Z88*((1+InflationRate)^Components!$K88),0),X88)</f>
        <v>1144.925971065132</v>
      </c>
      <c r="Z88" s="11">
        <f>IF(Components!AA88&gt;0,PPMT(EarningsRate,1,Components!$K88,0,-Components!AA88*((1+InflationRate)^Components!$K88),0),Y88)</f>
        <v>1144.925971065132</v>
      </c>
      <c r="AA88" s="11">
        <f>IF(Components!AB88&gt;0,PPMT(EarningsRate,1,Components!$K88,0,-Components!AB88*((1+InflationRate)^Components!$K88),0),Z88)</f>
        <v>1144.925971065132</v>
      </c>
      <c r="AB88" s="11">
        <f>IF(Components!AC88&gt;0,PPMT(EarningsRate,1,Components!$K88,0,-Components!AC88*((1+InflationRate)^Components!$K88),0),AA88)</f>
        <v>1144.925971065132</v>
      </c>
      <c r="AC88" s="11">
        <f>IF(Components!AD88&gt;0,PPMT(EarningsRate,1,Components!$K88,0,-Components!AD88*((1+InflationRate)^Components!$K88),0),AB88)</f>
        <v>1144.925971065132</v>
      </c>
      <c r="AD88" s="11">
        <f>IF(Components!AE88&gt;0,PPMT(EarningsRate,1,Components!$K88,0,-Components!AE88*((1+InflationRate)^Components!$K88),0),AC88)</f>
        <v>1144.925971065132</v>
      </c>
      <c r="AE88" s="11">
        <f>IF(Components!AF88&gt;0,PPMT(EarningsRate,1,Components!$K88,0,-Components!AF88*((1+InflationRate)^Components!$K88),0),AD88)</f>
        <v>1144.925971065132</v>
      </c>
      <c r="AF88" s="11">
        <f>IF(Components!AG88&gt;0,PPMT(EarningsRate,1,Components!$K88,0,-Components!AG88*((1+InflationRate)^Components!$K88),0),AE88)</f>
        <v>1144.925971065132</v>
      </c>
      <c r="AG88" s="11">
        <f>IF(Components!AH88&gt;0,PPMT(EarningsRate,1,Components!$K88,0,-Components!AH88*((1+InflationRate)^Components!$K88),0),AF88)</f>
        <v>1144.925971065132</v>
      </c>
      <c r="AH88" s="11">
        <f>IF(Components!AI88&gt;0,PPMT(EarningsRate,1,Components!$K88,0,-Components!AI88*((1+InflationRate)^Components!$K88),0),AG88)</f>
        <v>1918.1164852950205</v>
      </c>
      <c r="AI88" s="11">
        <f>IF(Components!AJ88&gt;0,PPMT(EarningsRate,1,Components!$K88,0,-Components!AJ88*((1+InflationRate)^Components!$K88),0),AH88)</f>
        <v>1918.1164852950205</v>
      </c>
      <c r="AJ88" s="11">
        <f>IF(Components!AK88&gt;0,PPMT(EarningsRate,1,Components!$K88,0,-Components!AK88*((1+InflationRate)^Components!$K88),0),AI88)</f>
        <v>1918.1164852950205</v>
      </c>
      <c r="AK88" s="11">
        <f>IF(Components!AL88&gt;0,PPMT(EarningsRate,1,Components!$K88,0,-Components!AL88*((1+InflationRate)^Components!$K88),0),AJ88)</f>
        <v>1918.1164852950205</v>
      </c>
      <c r="AL88" s="11">
        <f>IF(Components!AM88&gt;0,PPMT(EarningsRate,1,Components!$K88,0,-Components!AM88*((1+InflationRate)^Components!$K88),0),AK88)</f>
        <v>1918.1164852950205</v>
      </c>
      <c r="AM88" s="11">
        <f>IF(Components!AN88&gt;0,PPMT(EarningsRate,1,Components!$K88,0,-Components!AN88*((1+InflationRate)^Components!$K88),0),AL88)</f>
        <v>1918.1164852950205</v>
      </c>
      <c r="AN88" s="11">
        <f>IF(Components!AO88&gt;0,PPMT(EarningsRate,1,Components!$K88,0,-Components!AO88*((1+InflationRate)^Components!$K88),0),AM88)</f>
        <v>1918.1164852950205</v>
      </c>
      <c r="AO88" s="11">
        <f>IF(Components!AP88&gt;0,PPMT(EarningsRate,1,Components!$K88,0,-Components!AP88*((1+InflationRate)^Components!$K88),0),AN88)</f>
        <v>1918.1164852950205</v>
      </c>
      <c r="AP88" s="214"/>
      <c r="AQ88" s="11">
        <f t="shared" si="2"/>
        <v>37985.986117526503</v>
      </c>
    </row>
    <row r="89" spans="1:43" s="1" customFormat="1">
      <c r="A89" s="220" t="str">
        <f>Components!B89</f>
        <v>Restaurant</v>
      </c>
      <c r="B89" s="220" t="str">
        <f>Components!C89</f>
        <v>Front lanai</v>
      </c>
      <c r="C89" s="211"/>
      <c r="D89" s="211"/>
      <c r="E89" s="211"/>
      <c r="F89" s="88"/>
      <c r="G89" s="212"/>
      <c r="H89" s="212"/>
      <c r="I89" s="212"/>
      <c r="J89" s="211"/>
      <c r="K89" s="11">
        <f>IF('FF Balance'!H89&gt;=0,PPMT(EarningsRate,1,Components!K89,0,-'FF Balance'!G89,0),0)</f>
        <v>1220.5656097667065</v>
      </c>
      <c r="L89" s="11">
        <f>IF(Components!M89&gt;0,PPMT(EarningsRate,1,Components!$K89,0,-Components!M89*((1+InflationRate)^Components!$K89),0),K89)</f>
        <v>1220.5656097667065</v>
      </c>
      <c r="M89" s="11">
        <f>IF(Components!N89&gt;0,PPMT(EarningsRate,1,Components!$K89,0,-Components!N89*((1+InflationRate)^Components!$K89),0),L89)</f>
        <v>1220.5656097667065</v>
      </c>
      <c r="N89" s="11">
        <f>IF(Components!O89&gt;0,PPMT(EarningsRate,1,Components!$K89,0,-Components!O89*((1+InflationRate)^Components!$K89),0),M89)</f>
        <v>1220.5656097667065</v>
      </c>
      <c r="O89" s="11">
        <f>IF(Components!P89&gt;0,PPMT(EarningsRate,1,Components!$K89,0,-Components!P89*((1+InflationRate)^Components!$K89),0),N89)</f>
        <v>1220.5656097667065</v>
      </c>
      <c r="P89" s="11">
        <f>IF(Components!Q89&gt;0,PPMT(EarningsRate,1,Components!$K89,0,-Components!Q89*((1+InflationRate)^Components!$K89),0),O89)</f>
        <v>1220.5656097667065</v>
      </c>
      <c r="Q89" s="11">
        <f>IF(Components!R89&gt;0,PPMT(EarningsRate,1,Components!$K89,0,-Components!R89*((1+InflationRate)^Components!$K89),0),P89)</f>
        <v>1220.5656097667065</v>
      </c>
      <c r="R89" s="11">
        <f>IF(Components!S89&gt;0,PPMT(EarningsRate,1,Components!$K89,0,-Components!S89*((1+InflationRate)^Components!$K89),0),Q89)</f>
        <v>1220.5656097667065</v>
      </c>
      <c r="S89" s="11">
        <f>IF(Components!T89&gt;0,PPMT(EarningsRate,1,Components!$K89,0,-Components!T89*((1+InflationRate)^Components!$K89),0),R89)</f>
        <v>1220.5656097667065</v>
      </c>
      <c r="T89" s="11">
        <f>IF(Components!U89&gt;0,PPMT(EarningsRate,1,Components!$K89,0,-Components!U89*((1+InflationRate)^Components!$K89),0),S89)</f>
        <v>1220.5656097667065</v>
      </c>
      <c r="U89" s="11">
        <f>IF(Components!V89&gt;0,PPMT(EarningsRate,1,Components!$K89,0,-Components!V89*((1+InflationRate)^Components!$K89),0),T89)</f>
        <v>1220.5656097667065</v>
      </c>
      <c r="V89" s="11">
        <f>IF(Components!W89&gt;0,PPMT(EarningsRate,1,Components!$K89,0,-Components!W89*((1+InflationRate)^Components!$K89),0),U89)</f>
        <v>1220.5656097667065</v>
      </c>
      <c r="W89" s="11">
        <f>IF(Components!X89&gt;0,PPMT(EarningsRate,1,Components!$K89,0,-Components!X89*((1+InflationRate)^Components!$K89),0),V89)</f>
        <v>1220.5656097667065</v>
      </c>
      <c r="X89" s="11">
        <f>IF(Components!Y89&gt;0,PPMT(EarningsRate,1,Components!$K89,0,-Components!Y89*((1+InflationRate)^Components!$K89),0),W89)</f>
        <v>1220.5656097667065</v>
      </c>
      <c r="Y89" s="11">
        <f>IF(Components!Z89&gt;0,PPMT(EarningsRate,1,Components!$K89,0,-Components!Z89*((1+InflationRate)^Components!$K89),0),X89)</f>
        <v>1220.5656097667065</v>
      </c>
      <c r="Z89" s="11">
        <f>IF(Components!AA89&gt;0,PPMT(EarningsRate,1,Components!$K89,0,-Components!AA89*((1+InflationRate)^Components!$K89),0),Y89)</f>
        <v>1220.5656097667065</v>
      </c>
      <c r="AA89" s="11">
        <f>IF(Components!AB89&gt;0,PPMT(EarningsRate,1,Components!$K89,0,-Components!AB89*((1+InflationRate)^Components!$K89),0),Z89)</f>
        <v>1220.5656097667065</v>
      </c>
      <c r="AB89" s="11">
        <f>IF(Components!AC89&gt;0,PPMT(EarningsRate,1,Components!$K89,0,-Components!AC89*((1+InflationRate)^Components!$K89),0),AA89)</f>
        <v>1220.5656097667065</v>
      </c>
      <c r="AC89" s="11">
        <f>IF(Components!AD89&gt;0,PPMT(EarningsRate,1,Components!$K89,0,-Components!AD89*((1+InflationRate)^Components!$K89),0),AB89)</f>
        <v>1220.5656097667065</v>
      </c>
      <c r="AD89" s="11">
        <f>IF(Components!AE89&gt;0,PPMT(EarningsRate,1,Components!$K89,0,-Components!AE89*((1+InflationRate)^Components!$K89),0),AC89)</f>
        <v>1220.5656097667065</v>
      </c>
      <c r="AE89" s="11">
        <f>IF(Components!AF89&gt;0,PPMT(EarningsRate,1,Components!$K89,0,-Components!AF89*((1+InflationRate)^Components!$K89),0),AD89)</f>
        <v>1220.5656097667065</v>
      </c>
      <c r="AF89" s="11">
        <f>IF(Components!AG89&gt;0,PPMT(EarningsRate,1,Components!$K89,0,-Components!AG89*((1+InflationRate)^Components!$K89),0),AE89)</f>
        <v>1220.5656097667065</v>
      </c>
      <c r="AG89" s="11">
        <f>IF(Components!AH89&gt;0,PPMT(EarningsRate,1,Components!$K89,0,-Components!AH89*((1+InflationRate)^Components!$K89),0),AF89)</f>
        <v>1220.5656097667065</v>
      </c>
      <c r="AH89" s="11">
        <f>IF(Components!AI89&gt;0,PPMT(EarningsRate,1,Components!$K89,0,-Components!AI89*((1+InflationRate)^Components!$K89),0),AG89)</f>
        <v>3425.875869669715</v>
      </c>
      <c r="AI89" s="11">
        <f>IF(Components!AJ89&gt;0,PPMT(EarningsRate,1,Components!$K89,0,-Components!AJ89*((1+InflationRate)^Components!$K89),0),AH89)</f>
        <v>3425.875869669715</v>
      </c>
      <c r="AJ89" s="11">
        <f>IF(Components!AK89&gt;0,PPMT(EarningsRate,1,Components!$K89,0,-Components!AK89*((1+InflationRate)^Components!$K89),0),AI89)</f>
        <v>3425.875869669715</v>
      </c>
      <c r="AK89" s="11">
        <f>IF(Components!AL89&gt;0,PPMT(EarningsRate,1,Components!$K89,0,-Components!AL89*((1+InflationRate)^Components!$K89),0),AJ89)</f>
        <v>3425.875869669715</v>
      </c>
      <c r="AL89" s="11">
        <f>IF(Components!AM89&gt;0,PPMT(EarningsRate,1,Components!$K89,0,-Components!AM89*((1+InflationRate)^Components!$K89),0),AK89)</f>
        <v>3425.875869669715</v>
      </c>
      <c r="AM89" s="11">
        <f>IF(Components!AN89&gt;0,PPMT(EarningsRate,1,Components!$K89,0,-Components!AN89*((1+InflationRate)^Components!$K89),0),AL89)</f>
        <v>3425.875869669715</v>
      </c>
      <c r="AN89" s="11">
        <f>IF(Components!AO89&gt;0,PPMT(EarningsRate,1,Components!$K89,0,-Components!AO89*((1+InflationRate)^Components!$K89),0),AM89)</f>
        <v>3425.875869669715</v>
      </c>
      <c r="AO89" s="11">
        <f>IF(Components!AP89&gt;0,PPMT(EarningsRate,1,Components!$K89,0,-Components!AP89*((1+InflationRate)^Components!$K89),0),AN89)</f>
        <v>3425.875869669715</v>
      </c>
      <c r="AP89" s="214"/>
      <c r="AQ89" s="11">
        <f t="shared" si="2"/>
        <v>55480.016081991977</v>
      </c>
    </row>
    <row r="90" spans="1:43" s="1" customFormat="1">
      <c r="A90" s="220" t="str">
        <f>Components!B90</f>
        <v>Restaurant</v>
      </c>
      <c r="B90" s="220" t="str">
        <f>Components!C90</f>
        <v>Pass through refrigerator</v>
      </c>
      <c r="C90" s="211"/>
      <c r="D90" s="211"/>
      <c r="E90" s="211"/>
      <c r="F90" s="88"/>
      <c r="G90" s="212"/>
      <c r="H90" s="212"/>
      <c r="I90" s="212"/>
      <c r="J90" s="211"/>
      <c r="K90" s="11">
        <f>IF('FF Balance'!H90&gt;=0,PPMT(EarningsRate,1,Components!K90,0,-'FF Balance'!G90,0),0)</f>
        <v>0</v>
      </c>
      <c r="L90" s="11">
        <f>IF(Components!M90&gt;0,PPMT(EarningsRate,1,Components!$K90,0,-Components!M90*((1+InflationRate)^Components!$K90),0),K90)</f>
        <v>0</v>
      </c>
      <c r="M90" s="11">
        <f>IF(Components!N90&gt;0,PPMT(EarningsRate,1,Components!$K90,0,-Components!N90*((1+InflationRate)^Components!$K90),0),L90)</f>
        <v>0</v>
      </c>
      <c r="N90" s="11">
        <f>IF(Components!O90&gt;0,PPMT(EarningsRate,1,Components!$K90,0,-Components!O90*((1+InflationRate)^Components!$K90),0),M90)</f>
        <v>0</v>
      </c>
      <c r="O90" s="11">
        <f>IF(Components!P90&gt;0,PPMT(EarningsRate,1,Components!$K90,0,-Components!P90*((1+InflationRate)^Components!$K90),0),N90)</f>
        <v>0</v>
      </c>
      <c r="P90" s="11">
        <f>IF(Components!Q90&gt;0,PPMT(EarningsRate,1,Components!$K90,0,-Components!Q90*((1+InflationRate)^Components!$K90),0),O90)</f>
        <v>0</v>
      </c>
      <c r="Q90" s="11">
        <f>IF(Components!R90&gt;0,PPMT(EarningsRate,1,Components!$K90,0,-Components!R90*((1+InflationRate)^Components!$K90),0),P90)</f>
        <v>0</v>
      </c>
      <c r="R90" s="11">
        <f>IF(Components!S90&gt;0,PPMT(EarningsRate,1,Components!$K90,0,-Components!S90*((1+InflationRate)^Components!$K90),0),Q90)</f>
        <v>0</v>
      </c>
      <c r="S90" s="11">
        <f>IF(Components!T90&gt;0,PPMT(EarningsRate,1,Components!$K90,0,-Components!T90*((1+InflationRate)^Components!$K90),0),R90)</f>
        <v>1082.6955699577968</v>
      </c>
      <c r="T90" s="11">
        <f>IF(Components!U90&gt;0,PPMT(EarningsRate,1,Components!$K90,0,-Components!U90*((1+InflationRate)^Components!$K90),0),S90)</f>
        <v>1082.6955699577968</v>
      </c>
      <c r="U90" s="11">
        <f>IF(Components!V90&gt;0,PPMT(EarningsRate,1,Components!$K90,0,-Components!V90*((1+InflationRate)^Components!$K90),0),T90)</f>
        <v>1082.6955699577968</v>
      </c>
      <c r="V90" s="11">
        <f>IF(Components!W90&gt;0,PPMT(EarningsRate,1,Components!$K90,0,-Components!W90*((1+InflationRate)^Components!$K90),0),U90)</f>
        <v>1082.6955699577968</v>
      </c>
      <c r="W90" s="11">
        <f>IF(Components!X90&gt;0,PPMT(EarningsRate,1,Components!$K90,0,-Components!X90*((1+InflationRate)^Components!$K90),0),V90)</f>
        <v>1082.6955699577968</v>
      </c>
      <c r="X90" s="11">
        <f>IF(Components!Y90&gt;0,PPMT(EarningsRate,1,Components!$K90,0,-Components!Y90*((1+InflationRate)^Components!$K90),0),W90)</f>
        <v>1082.6955699577968</v>
      </c>
      <c r="Y90" s="11">
        <f>IF(Components!Z90&gt;0,PPMT(EarningsRate,1,Components!$K90,0,-Components!Z90*((1+InflationRate)^Components!$K90),0),X90)</f>
        <v>1082.6955699577968</v>
      </c>
      <c r="Z90" s="11">
        <f>IF(Components!AA90&gt;0,PPMT(EarningsRate,1,Components!$K90,0,-Components!AA90*((1+InflationRate)^Components!$K90),0),Y90)</f>
        <v>1082.6955699577968</v>
      </c>
      <c r="AA90" s="11">
        <f>IF(Components!AB90&gt;0,PPMT(EarningsRate,1,Components!$K90,0,-Components!AB90*((1+InflationRate)^Components!$K90),0),Z90)</f>
        <v>1425.6052230805499</v>
      </c>
      <c r="AB90" s="11">
        <f>IF(Components!AC90&gt;0,PPMT(EarningsRate,1,Components!$K90,0,-Components!AC90*((1+InflationRate)^Components!$K90),0),AA90)</f>
        <v>1425.6052230805499</v>
      </c>
      <c r="AC90" s="11">
        <f>IF(Components!AD90&gt;0,PPMT(EarningsRate,1,Components!$K90,0,-Components!AD90*((1+InflationRate)^Components!$K90),0),AB90)</f>
        <v>1425.6052230805499</v>
      </c>
      <c r="AD90" s="11">
        <f>IF(Components!AE90&gt;0,PPMT(EarningsRate,1,Components!$K90,0,-Components!AE90*((1+InflationRate)^Components!$K90),0),AC90)</f>
        <v>1425.6052230805499</v>
      </c>
      <c r="AE90" s="11">
        <f>IF(Components!AF90&gt;0,PPMT(EarningsRate,1,Components!$K90,0,-Components!AF90*((1+InflationRate)^Components!$K90),0),AD90)</f>
        <v>1425.6052230805499</v>
      </c>
      <c r="AF90" s="11">
        <f>IF(Components!AG90&gt;0,PPMT(EarningsRate,1,Components!$K90,0,-Components!AG90*((1+InflationRate)^Components!$K90),0),AE90)</f>
        <v>1425.6052230805499</v>
      </c>
      <c r="AG90" s="11">
        <f>IF(Components!AH90&gt;0,PPMT(EarningsRate,1,Components!$K90,0,-Components!AH90*((1+InflationRate)^Components!$K90),0),AF90)</f>
        <v>1425.6052230805499</v>
      </c>
      <c r="AH90" s="11">
        <f>IF(Components!AI90&gt;0,PPMT(EarningsRate,1,Components!$K90,0,-Components!AI90*((1+InflationRate)^Components!$K90),0),AG90)</f>
        <v>1425.6052230805499</v>
      </c>
      <c r="AI90" s="11">
        <f>IF(Components!AJ90&gt;0,PPMT(EarningsRate,1,Components!$K90,0,-Components!AJ90*((1+InflationRate)^Components!$K90),0),AH90)</f>
        <v>1877.3653768824827</v>
      </c>
      <c r="AJ90" s="11">
        <f>IF(Components!AK90&gt;0,PPMT(EarningsRate,1,Components!$K90,0,-Components!AK90*((1+InflationRate)^Components!$K90),0),AI90)</f>
        <v>1877.3653768824827</v>
      </c>
      <c r="AK90" s="11">
        <f>IF(Components!AL90&gt;0,PPMT(EarningsRate,1,Components!$K90,0,-Components!AL90*((1+InflationRate)^Components!$K90),0),AJ90)</f>
        <v>1877.3653768824827</v>
      </c>
      <c r="AL90" s="11">
        <f>IF(Components!AM90&gt;0,PPMT(EarningsRate,1,Components!$K90,0,-Components!AM90*((1+InflationRate)^Components!$K90),0),AK90)</f>
        <v>1877.3653768824827</v>
      </c>
      <c r="AM90" s="11">
        <f>IF(Components!AN90&gt;0,PPMT(EarningsRate,1,Components!$K90,0,-Components!AN90*((1+InflationRate)^Components!$K90),0),AL90)</f>
        <v>1877.3653768824827</v>
      </c>
      <c r="AN90" s="11">
        <f>IF(Components!AO90&gt;0,PPMT(EarningsRate,1,Components!$K90,0,-Components!AO90*((1+InflationRate)^Components!$K90),0),AM90)</f>
        <v>1877.3653768824827</v>
      </c>
      <c r="AO90" s="11">
        <f>IF(Components!AP90&gt;0,PPMT(EarningsRate,1,Components!$K90,0,-Components!AP90*((1+InflationRate)^Components!$K90),0),AN90)</f>
        <v>1877.3653768824827</v>
      </c>
      <c r="AP90" s="214"/>
      <c r="AQ90" s="11">
        <f t="shared" si="2"/>
        <v>33207.964082484163</v>
      </c>
    </row>
    <row r="91" spans="1:43" s="1" customFormat="1">
      <c r="A91" s="220" t="str">
        <f>Components!B91</f>
        <v>Restaurant</v>
      </c>
      <c r="B91" s="220" t="str">
        <f>Components!C91</f>
        <v>Rear Lanai</v>
      </c>
      <c r="C91" s="211"/>
      <c r="D91" s="211"/>
      <c r="E91" s="211"/>
      <c r="F91" s="88"/>
      <c r="G91" s="212"/>
      <c r="H91" s="212"/>
      <c r="I91" s="212"/>
      <c r="J91" s="211"/>
      <c r="K91" s="11">
        <f>IF('FF Balance'!H91&gt;=0,PPMT(EarningsRate,1,Components!K91,0,-'FF Balance'!G91,0),0)</f>
        <v>1183.6324528835689</v>
      </c>
      <c r="L91" s="11">
        <f>IF(Components!M91&gt;0,PPMT(EarningsRate,1,Components!$K91,0,-Components!M91*((1+InflationRate)^Components!$K91),0),K91)</f>
        <v>1183.6324528835689</v>
      </c>
      <c r="M91" s="11">
        <f>IF(Components!N91&gt;0,PPMT(EarningsRate,1,Components!$K91,0,-Components!N91*((1+InflationRate)^Components!$K91),0),L91)</f>
        <v>1183.6324528835689</v>
      </c>
      <c r="N91" s="11">
        <f>IF(Components!O91&gt;0,PPMT(EarningsRate,1,Components!$K91,0,-Components!O91*((1+InflationRate)^Components!$K91),0),M91)</f>
        <v>1183.6324528835689</v>
      </c>
      <c r="O91" s="11">
        <f>IF(Components!P91&gt;0,PPMT(EarningsRate,1,Components!$K91,0,-Components!P91*((1+InflationRate)^Components!$K91),0),N91)</f>
        <v>1183.6324528835689</v>
      </c>
      <c r="P91" s="11">
        <f>IF(Components!Q91&gt;0,PPMT(EarningsRate,1,Components!$K91,0,-Components!Q91*((1+InflationRate)^Components!$K91),0),O91)</f>
        <v>1183.6324528835689</v>
      </c>
      <c r="Q91" s="11">
        <f>IF(Components!R91&gt;0,PPMT(EarningsRate,1,Components!$K91,0,-Components!R91*((1+InflationRate)^Components!$K91),0),P91)</f>
        <v>1183.6324528835689</v>
      </c>
      <c r="R91" s="11">
        <f>IF(Components!S91&gt;0,PPMT(EarningsRate,1,Components!$K91,0,-Components!S91*((1+InflationRate)^Components!$K91),0),Q91)</f>
        <v>1183.6324528835689</v>
      </c>
      <c r="S91" s="11">
        <f>IF(Components!T91&gt;0,PPMT(EarningsRate,1,Components!$K91,0,-Components!T91*((1+InflationRate)^Components!$K91),0),R91)</f>
        <v>1183.6324528835689</v>
      </c>
      <c r="T91" s="11">
        <f>IF(Components!U91&gt;0,PPMT(EarningsRate,1,Components!$K91,0,-Components!U91*((1+InflationRate)^Components!$K91),0),S91)</f>
        <v>1183.6324528835689</v>
      </c>
      <c r="U91" s="11">
        <f>IF(Components!V91&gt;0,PPMT(EarningsRate,1,Components!$K91,0,-Components!V91*((1+InflationRate)^Components!$K91),0),T91)</f>
        <v>1183.6324528835689</v>
      </c>
      <c r="V91" s="11">
        <f>IF(Components!W91&gt;0,PPMT(EarningsRate,1,Components!$K91,0,-Components!W91*((1+InflationRate)^Components!$K91),0),U91)</f>
        <v>1183.6324528835689</v>
      </c>
      <c r="W91" s="11">
        <f>IF(Components!X91&gt;0,PPMT(EarningsRate,1,Components!$K91,0,-Components!X91*((1+InflationRate)^Components!$K91),0),V91)</f>
        <v>1183.6324528835689</v>
      </c>
      <c r="X91" s="11">
        <f>IF(Components!Y91&gt;0,PPMT(EarningsRate,1,Components!$K91,0,-Components!Y91*((1+InflationRate)^Components!$K91),0),W91)</f>
        <v>1183.6324528835689</v>
      </c>
      <c r="Y91" s="11">
        <f>IF(Components!Z91&gt;0,PPMT(EarningsRate,1,Components!$K91,0,-Components!Z91*((1+InflationRate)^Components!$K91),0),X91)</f>
        <v>1183.6324528835689</v>
      </c>
      <c r="Z91" s="11">
        <f>IF(Components!AA91&gt;0,PPMT(EarningsRate,1,Components!$K91,0,-Components!AA91*((1+InflationRate)^Components!$K91),0),Y91)</f>
        <v>1183.6324528835689</v>
      </c>
      <c r="AA91" s="11">
        <f>IF(Components!AB91&gt;0,PPMT(EarningsRate,1,Components!$K91,0,-Components!AB91*((1+InflationRate)^Components!$K91),0),Z91)</f>
        <v>1183.6324528835689</v>
      </c>
      <c r="AB91" s="11">
        <f>IF(Components!AC91&gt;0,PPMT(EarningsRate,1,Components!$K91,0,-Components!AC91*((1+InflationRate)^Components!$K91),0),AA91)</f>
        <v>1183.6324528835689</v>
      </c>
      <c r="AC91" s="11">
        <f>IF(Components!AD91&gt;0,PPMT(EarningsRate,1,Components!$K91,0,-Components!AD91*((1+InflationRate)^Components!$K91),0),AB91)</f>
        <v>1183.6324528835689</v>
      </c>
      <c r="AD91" s="11">
        <f>IF(Components!AE91&gt;0,PPMT(EarningsRate,1,Components!$K91,0,-Components!AE91*((1+InflationRate)^Components!$K91),0),AC91)</f>
        <v>1183.6324528835689</v>
      </c>
      <c r="AE91" s="11">
        <f>IF(Components!AF91&gt;0,PPMT(EarningsRate,1,Components!$K91,0,-Components!AF91*((1+InflationRate)^Components!$K91),0),AD91)</f>
        <v>1183.6324528835689</v>
      </c>
      <c r="AF91" s="11">
        <f>IF(Components!AG91&gt;0,PPMT(EarningsRate,1,Components!$K91,0,-Components!AG91*((1+InflationRate)^Components!$K91),0),AE91)</f>
        <v>1183.6324528835689</v>
      </c>
      <c r="AG91" s="11">
        <f>IF(Components!AH91&gt;0,PPMT(EarningsRate,1,Components!$K91,0,-Components!AH91*((1+InflationRate)^Components!$K91),0),AF91)</f>
        <v>1183.6324528835689</v>
      </c>
      <c r="AH91" s="11">
        <f>IF(Components!AI91&gt;0,PPMT(EarningsRate,1,Components!$K91,0,-Components!AI91*((1+InflationRate)^Components!$K91),0),AG91)</f>
        <v>3322.2121174353306</v>
      </c>
      <c r="AI91" s="11">
        <f>IF(Components!AJ91&gt;0,PPMT(EarningsRate,1,Components!$K91,0,-Components!AJ91*((1+InflationRate)^Components!$K91),0),AH91)</f>
        <v>3322.2121174353306</v>
      </c>
      <c r="AJ91" s="11">
        <f>IF(Components!AK91&gt;0,PPMT(EarningsRate,1,Components!$K91,0,-Components!AK91*((1+InflationRate)^Components!$K91),0),AI91)</f>
        <v>3322.2121174353306</v>
      </c>
      <c r="AK91" s="11">
        <f>IF(Components!AL91&gt;0,PPMT(EarningsRate,1,Components!$K91,0,-Components!AL91*((1+InflationRate)^Components!$K91),0),AJ91)</f>
        <v>3322.2121174353306</v>
      </c>
      <c r="AL91" s="11">
        <f>IF(Components!AM91&gt;0,PPMT(EarningsRate,1,Components!$K91,0,-Components!AM91*((1+InflationRate)^Components!$K91),0),AK91)</f>
        <v>3322.2121174353306</v>
      </c>
      <c r="AM91" s="11">
        <f>IF(Components!AN91&gt;0,PPMT(EarningsRate,1,Components!$K91,0,-Components!AN91*((1+InflationRate)^Components!$K91),0),AL91)</f>
        <v>3322.2121174353306</v>
      </c>
      <c r="AN91" s="11">
        <f>IF(Components!AO91&gt;0,PPMT(EarningsRate,1,Components!$K91,0,-Components!AO91*((1+InflationRate)^Components!$K91),0),AM91)</f>
        <v>3322.2121174353306</v>
      </c>
      <c r="AO91" s="11">
        <f>IF(Components!AP91&gt;0,PPMT(EarningsRate,1,Components!$K91,0,-Components!AP91*((1+InflationRate)^Components!$K91),0),AN91)</f>
        <v>3322.2121174353306</v>
      </c>
      <c r="AP91" s="214"/>
      <c r="AQ91" s="11">
        <f t="shared" si="2"/>
        <v>53801.243455804717</v>
      </c>
    </row>
    <row r="92" spans="1:43" s="1" customFormat="1">
      <c r="A92" s="220" t="str">
        <f>Components!B92</f>
        <v>Restaurant</v>
      </c>
      <c r="B92" s="220" t="str">
        <f>Components!C92</f>
        <v>Rendezvous Make Up Air</v>
      </c>
      <c r="C92" s="211"/>
      <c r="D92" s="211"/>
      <c r="E92" s="211"/>
      <c r="F92" s="88"/>
      <c r="G92" s="212"/>
      <c r="H92" s="212"/>
      <c r="I92" s="212"/>
      <c r="J92" s="211"/>
      <c r="K92" s="11">
        <f>IF('FF Balance'!H92&gt;=0,PPMT(EarningsRate,1,Components!K92,0,-'FF Balance'!G92,0),0)</f>
        <v>1442.6857109346547</v>
      </c>
      <c r="L92" s="11">
        <f>IF(Components!M92&gt;0,PPMT(EarningsRate,1,Components!$K92,0,-Components!M92*((1+InflationRate)^Components!$K92),0),K92)</f>
        <v>1442.6857109346547</v>
      </c>
      <c r="M92" s="11">
        <f>IF(Components!N92&gt;0,PPMT(EarningsRate,1,Components!$K92,0,-Components!N92*((1+InflationRate)^Components!$K92),0),L92)</f>
        <v>1442.6857109346547</v>
      </c>
      <c r="N92" s="11">
        <f>IF(Components!O92&gt;0,PPMT(EarningsRate,1,Components!$K92,0,-Components!O92*((1+InflationRate)^Components!$K92),0),M92)</f>
        <v>1442.6857109346547</v>
      </c>
      <c r="O92" s="11">
        <f>IF(Components!P92&gt;0,PPMT(EarningsRate,1,Components!$K92,0,-Components!P92*((1+InflationRate)^Components!$K92),0),N92)</f>
        <v>1442.6857109346547</v>
      </c>
      <c r="P92" s="11">
        <f>IF(Components!Q92&gt;0,PPMT(EarningsRate,1,Components!$K92,0,-Components!Q92*((1+InflationRate)^Components!$K92),0),O92)</f>
        <v>1442.6857109346547</v>
      </c>
      <c r="Q92" s="11">
        <f>IF(Components!R92&gt;0,PPMT(EarningsRate,1,Components!$K92,0,-Components!R92*((1+InflationRate)^Components!$K92),0),P92)</f>
        <v>1442.6857109346547</v>
      </c>
      <c r="R92" s="11">
        <f>IF(Components!S92&gt;0,PPMT(EarningsRate,1,Components!$K92,0,-Components!S92*((1+InflationRate)^Components!$K92),0),Q92)</f>
        <v>1442.6857109346547</v>
      </c>
      <c r="S92" s="11">
        <f>IF(Components!T92&gt;0,PPMT(EarningsRate,1,Components!$K92,0,-Components!T92*((1+InflationRate)^Components!$K92),0),R92)</f>
        <v>2417.0018189572215</v>
      </c>
      <c r="T92" s="11">
        <f>IF(Components!U92&gt;0,PPMT(EarningsRate,1,Components!$K92,0,-Components!U92*((1+InflationRate)^Components!$K92),0),S92)</f>
        <v>2417.0018189572215</v>
      </c>
      <c r="U92" s="11">
        <f>IF(Components!V92&gt;0,PPMT(EarningsRate,1,Components!$K92,0,-Components!V92*((1+InflationRate)^Components!$K92),0),T92)</f>
        <v>2417.0018189572215</v>
      </c>
      <c r="V92" s="11">
        <f>IF(Components!W92&gt;0,PPMT(EarningsRate,1,Components!$K92,0,-Components!W92*((1+InflationRate)^Components!$K92),0),U92)</f>
        <v>2417.0018189572215</v>
      </c>
      <c r="W92" s="11">
        <f>IF(Components!X92&gt;0,PPMT(EarningsRate,1,Components!$K92,0,-Components!X92*((1+InflationRate)^Components!$K92),0),V92)</f>
        <v>2417.0018189572215</v>
      </c>
      <c r="X92" s="11">
        <f>IF(Components!Y92&gt;0,PPMT(EarningsRate,1,Components!$K92,0,-Components!Y92*((1+InflationRate)^Components!$K92),0),W92)</f>
        <v>2417.0018189572215</v>
      </c>
      <c r="Y92" s="11">
        <f>IF(Components!Z92&gt;0,PPMT(EarningsRate,1,Components!$K92,0,-Components!Z92*((1+InflationRate)^Components!$K92),0),X92)</f>
        <v>2417.0018189572215</v>
      </c>
      <c r="Z92" s="11">
        <f>IF(Components!AA92&gt;0,PPMT(EarningsRate,1,Components!$K92,0,-Components!AA92*((1+InflationRate)^Components!$K92),0),Y92)</f>
        <v>2417.0018189572215</v>
      </c>
      <c r="AA92" s="11">
        <f>IF(Components!AB92&gt;0,PPMT(EarningsRate,1,Components!$K92,0,-Components!AB92*((1+InflationRate)^Components!$K92),0),Z92)</f>
        <v>2417.0018189572215</v>
      </c>
      <c r="AB92" s="11">
        <f>IF(Components!AC92&gt;0,PPMT(EarningsRate,1,Components!$K92,0,-Components!AC92*((1+InflationRate)^Components!$K92),0),AA92)</f>
        <v>2417.0018189572215</v>
      </c>
      <c r="AC92" s="11">
        <f>IF(Components!AD92&gt;0,PPMT(EarningsRate,1,Components!$K92,0,-Components!AD92*((1+InflationRate)^Components!$K92),0),AB92)</f>
        <v>2417.0018189572215</v>
      </c>
      <c r="AD92" s="11">
        <f>IF(Components!AE92&gt;0,PPMT(EarningsRate,1,Components!$K92,0,-Components!AE92*((1+InflationRate)^Components!$K92),0),AC92)</f>
        <v>2417.0018189572215</v>
      </c>
      <c r="AE92" s="11">
        <f>IF(Components!AF92&gt;0,PPMT(EarningsRate,1,Components!$K92,0,-Components!AF92*((1+InflationRate)^Components!$K92),0),AD92)</f>
        <v>2417.0018189572215</v>
      </c>
      <c r="AF92" s="11">
        <f>IF(Components!AG92&gt;0,PPMT(EarningsRate,1,Components!$K92,0,-Components!AG92*((1+InflationRate)^Components!$K92),0),AE92)</f>
        <v>2417.0018189572215</v>
      </c>
      <c r="AG92" s="11">
        <f>IF(Components!AH92&gt;0,PPMT(EarningsRate,1,Components!$K92,0,-Components!AH92*((1+InflationRate)^Components!$K92),0),AF92)</f>
        <v>2417.0018189572215</v>
      </c>
      <c r="AH92" s="11">
        <f>IF(Components!AI92&gt;0,PPMT(EarningsRate,1,Components!$K92,0,-Components!AI92*((1+InflationRate)^Components!$K92),0),AG92)</f>
        <v>4049.3677111713864</v>
      </c>
      <c r="AI92" s="11">
        <f>IF(Components!AJ92&gt;0,PPMT(EarningsRate,1,Components!$K92,0,-Components!AJ92*((1+InflationRate)^Components!$K92),0),AH92)</f>
        <v>4049.3677111713864</v>
      </c>
      <c r="AJ92" s="11">
        <f>IF(Components!AK92&gt;0,PPMT(EarningsRate,1,Components!$K92,0,-Components!AK92*((1+InflationRate)^Components!$K92),0),AI92)</f>
        <v>4049.3677111713864</v>
      </c>
      <c r="AK92" s="11">
        <f>IF(Components!AL92&gt;0,PPMT(EarningsRate,1,Components!$K92,0,-Components!AL92*((1+InflationRate)^Components!$K92),0),AJ92)</f>
        <v>4049.3677111713864</v>
      </c>
      <c r="AL92" s="11">
        <f>IF(Components!AM92&gt;0,PPMT(EarningsRate,1,Components!$K92,0,-Components!AM92*((1+InflationRate)^Components!$K92),0),AK92)</f>
        <v>4049.3677111713864</v>
      </c>
      <c r="AM92" s="11">
        <f>IF(Components!AN92&gt;0,PPMT(EarningsRate,1,Components!$K92,0,-Components!AN92*((1+InflationRate)^Components!$K92),0),AL92)</f>
        <v>4049.3677111713864</v>
      </c>
      <c r="AN92" s="11">
        <f>IF(Components!AO92&gt;0,PPMT(EarningsRate,1,Components!$K92,0,-Components!AO92*((1+InflationRate)^Components!$K92),0),AM92)</f>
        <v>4049.3677111713864</v>
      </c>
      <c r="AO92" s="11">
        <f>IF(Components!AP92&gt;0,PPMT(EarningsRate,1,Components!$K92,0,-Components!AP92*((1+InflationRate)^Components!$K92),0),AN92)</f>
        <v>4049.3677111713864</v>
      </c>
      <c r="AP92" s="214"/>
      <c r="AQ92" s="11">
        <f t="shared" si="2"/>
        <v>80191.454761206667</v>
      </c>
    </row>
    <row r="93" spans="1:43" s="1" customFormat="1">
      <c r="A93" s="220" t="str">
        <f>Components!B93</f>
        <v>Restaurant</v>
      </c>
      <c r="B93" s="220" t="str">
        <f>Components!C93</f>
        <v>Rendezvous RTU  #1</v>
      </c>
      <c r="C93" s="211"/>
      <c r="D93" s="211"/>
      <c r="E93" s="211"/>
      <c r="F93" s="88"/>
      <c r="G93" s="212"/>
      <c r="H93" s="212"/>
      <c r="I93" s="212"/>
      <c r="J93" s="211"/>
      <c r="K93" s="11">
        <f>IF('FF Balance'!H93&gt;=0,PPMT(EarningsRate,1,Components!K93,0,-'FF Balance'!G93,0),0)</f>
        <v>7807.3810562781264</v>
      </c>
      <c r="L93" s="11">
        <f>IF(Components!M93&gt;0,PPMT(EarningsRate,1,Components!$K93,0,-Components!M93*((1+InflationRate)^Components!$K93),0),K93)</f>
        <v>7807.3810562781264</v>
      </c>
      <c r="M93" s="11">
        <f>IF(Components!N93&gt;0,PPMT(EarningsRate,1,Components!$K93,0,-Components!N93*((1+InflationRate)^Components!$K93),0),L93)</f>
        <v>7807.3810562781264</v>
      </c>
      <c r="N93" s="11">
        <f>IF(Components!O93&gt;0,PPMT(EarningsRate,1,Components!$K93,0,-Components!O93*((1+InflationRate)^Components!$K93),0),M93)</f>
        <v>7807.3810562781264</v>
      </c>
      <c r="O93" s="11">
        <f>IF(Components!P93&gt;0,PPMT(EarningsRate,1,Components!$K93,0,-Components!P93*((1+InflationRate)^Components!$K93),0),N93)</f>
        <v>7807.3810562781264</v>
      </c>
      <c r="P93" s="11">
        <f>IF(Components!Q93&gt;0,PPMT(EarningsRate,1,Components!$K93,0,-Components!Q93*((1+InflationRate)^Components!$K93),0),O93)</f>
        <v>7807.3810562781264</v>
      </c>
      <c r="Q93" s="11">
        <f>IF(Components!R93&gt;0,PPMT(EarningsRate,1,Components!$K93,0,-Components!R93*((1+InflationRate)^Components!$K93),0),P93)</f>
        <v>7807.3810562781264</v>
      </c>
      <c r="R93" s="11">
        <f>IF(Components!S93&gt;0,PPMT(EarningsRate,1,Components!$K93,0,-Components!S93*((1+InflationRate)^Components!$K93),0),Q93)</f>
        <v>7807.3810562781264</v>
      </c>
      <c r="S93" s="11">
        <f>IF(Components!T93&gt;0,PPMT(EarningsRate,1,Components!$K93,0,-Components!T93*((1+InflationRate)^Components!$K93),0),R93)</f>
        <v>13080.086723872117</v>
      </c>
      <c r="T93" s="11">
        <f>IF(Components!U93&gt;0,PPMT(EarningsRate,1,Components!$K93,0,-Components!U93*((1+InflationRate)^Components!$K93),0),S93)</f>
        <v>13080.086723872117</v>
      </c>
      <c r="U93" s="11">
        <f>IF(Components!V93&gt;0,PPMT(EarningsRate,1,Components!$K93,0,-Components!V93*((1+InflationRate)^Components!$K93),0),T93)</f>
        <v>13080.086723872117</v>
      </c>
      <c r="V93" s="11">
        <f>IF(Components!W93&gt;0,PPMT(EarningsRate,1,Components!$K93,0,-Components!W93*((1+InflationRate)^Components!$K93),0),U93)</f>
        <v>13080.086723872117</v>
      </c>
      <c r="W93" s="11">
        <f>IF(Components!X93&gt;0,PPMT(EarningsRate,1,Components!$K93,0,-Components!X93*((1+InflationRate)^Components!$K93),0),V93)</f>
        <v>13080.086723872117</v>
      </c>
      <c r="X93" s="11">
        <f>IF(Components!Y93&gt;0,PPMT(EarningsRate,1,Components!$K93,0,-Components!Y93*((1+InflationRate)^Components!$K93),0),W93)</f>
        <v>13080.086723872117</v>
      </c>
      <c r="Y93" s="11">
        <f>IF(Components!Z93&gt;0,PPMT(EarningsRate,1,Components!$K93,0,-Components!Z93*((1+InflationRate)^Components!$K93),0),X93)</f>
        <v>13080.086723872117</v>
      </c>
      <c r="Z93" s="11">
        <f>IF(Components!AA93&gt;0,PPMT(EarningsRate,1,Components!$K93,0,-Components!AA93*((1+InflationRate)^Components!$K93),0),Y93)</f>
        <v>13080.086723872117</v>
      </c>
      <c r="AA93" s="11">
        <f>IF(Components!AB93&gt;0,PPMT(EarningsRate,1,Components!$K93,0,-Components!AB93*((1+InflationRate)^Components!$K93),0),Z93)</f>
        <v>13080.086723872117</v>
      </c>
      <c r="AB93" s="11">
        <f>IF(Components!AC93&gt;0,PPMT(EarningsRate,1,Components!$K93,0,-Components!AC93*((1+InflationRate)^Components!$K93),0),AA93)</f>
        <v>13080.086723872117</v>
      </c>
      <c r="AC93" s="11">
        <f>IF(Components!AD93&gt;0,PPMT(EarningsRate,1,Components!$K93,0,-Components!AD93*((1+InflationRate)^Components!$K93),0),AB93)</f>
        <v>13080.086723872117</v>
      </c>
      <c r="AD93" s="11">
        <f>IF(Components!AE93&gt;0,PPMT(EarningsRate,1,Components!$K93,0,-Components!AE93*((1+InflationRate)^Components!$K93),0),AC93)</f>
        <v>13080.086723872117</v>
      </c>
      <c r="AE93" s="11">
        <f>IF(Components!AF93&gt;0,PPMT(EarningsRate,1,Components!$K93,0,-Components!AF93*((1+InflationRate)^Components!$K93),0),AD93)</f>
        <v>13080.086723872117</v>
      </c>
      <c r="AF93" s="11">
        <f>IF(Components!AG93&gt;0,PPMT(EarningsRate,1,Components!$K93,0,-Components!AG93*((1+InflationRate)^Components!$K93),0),AE93)</f>
        <v>13080.086723872117</v>
      </c>
      <c r="AG93" s="11">
        <f>IF(Components!AH93&gt;0,PPMT(EarningsRate,1,Components!$K93,0,-Components!AH93*((1+InflationRate)^Components!$K93),0),AF93)</f>
        <v>13080.086723872117</v>
      </c>
      <c r="AH93" s="11">
        <f>IF(Components!AI93&gt;0,PPMT(EarningsRate,1,Components!$K93,0,-Components!AI93*((1+InflationRate)^Components!$K93),0),AG93)</f>
        <v>21913.733045484772</v>
      </c>
      <c r="AI93" s="11">
        <f>IF(Components!AJ93&gt;0,PPMT(EarningsRate,1,Components!$K93,0,-Components!AJ93*((1+InflationRate)^Components!$K93),0),AH93)</f>
        <v>21913.733045484772</v>
      </c>
      <c r="AJ93" s="11">
        <f>IF(Components!AK93&gt;0,PPMT(EarningsRate,1,Components!$K93,0,-Components!AK93*((1+InflationRate)^Components!$K93),0),AI93)</f>
        <v>21913.733045484772</v>
      </c>
      <c r="AK93" s="11">
        <f>IF(Components!AL93&gt;0,PPMT(EarningsRate,1,Components!$K93,0,-Components!AL93*((1+InflationRate)^Components!$K93),0),AJ93)</f>
        <v>21913.733045484772</v>
      </c>
      <c r="AL93" s="11">
        <f>IF(Components!AM93&gt;0,PPMT(EarningsRate,1,Components!$K93,0,-Components!AM93*((1+InflationRate)^Components!$K93),0),AK93)</f>
        <v>21913.733045484772</v>
      </c>
      <c r="AM93" s="11">
        <f>IF(Components!AN93&gt;0,PPMT(EarningsRate,1,Components!$K93,0,-Components!AN93*((1+InflationRate)^Components!$K93),0),AL93)</f>
        <v>21913.733045484772</v>
      </c>
      <c r="AN93" s="11">
        <f>IF(Components!AO93&gt;0,PPMT(EarningsRate,1,Components!$K93,0,-Components!AO93*((1+InflationRate)^Components!$K93),0),AM93)</f>
        <v>21913.733045484772</v>
      </c>
      <c r="AO93" s="11">
        <f>IF(Components!AP93&gt;0,PPMT(EarningsRate,1,Components!$K93,0,-Components!AP93*((1+InflationRate)^Components!$K93),0),AN93)</f>
        <v>21913.733045484772</v>
      </c>
      <c r="AP93" s="214"/>
      <c r="AQ93" s="11">
        <f t="shared" si="2"/>
        <v>433970.21377218474</v>
      </c>
    </row>
    <row r="94" spans="1:43" s="1" customFormat="1">
      <c r="A94" s="220" t="str">
        <f>Components!B94</f>
        <v>Restaurant</v>
      </c>
      <c r="B94" s="220" t="str">
        <f>Components!C94</f>
        <v>Restaurant AV system</v>
      </c>
      <c r="C94" s="211"/>
      <c r="D94" s="211"/>
      <c r="E94" s="211"/>
      <c r="F94" s="88"/>
      <c r="G94" s="212"/>
      <c r="H94" s="212"/>
      <c r="I94" s="212"/>
      <c r="J94" s="211"/>
      <c r="K94" s="11">
        <f>IF('FF Balance'!H94&gt;=0,PPMT(EarningsRate,1,Components!K94,0,-'FF Balance'!G94,0),0)</f>
        <v>3129.6606363605606</v>
      </c>
      <c r="L94" s="11">
        <f>IF(Components!M94&gt;0,PPMT(EarningsRate,1,Components!$K94,0,-Components!M94*((1+InflationRate)^Components!$K94),0),K94)</f>
        <v>3129.6606363605606</v>
      </c>
      <c r="M94" s="11">
        <f>IF(Components!N94&gt;0,PPMT(EarningsRate,1,Components!$K94,0,-Components!N94*((1+InflationRate)^Components!$K94),0),L94)</f>
        <v>3129.6606363605606</v>
      </c>
      <c r="N94" s="11">
        <f>IF(Components!O94&gt;0,PPMT(EarningsRate,1,Components!$K94,0,-Components!O94*((1+InflationRate)^Components!$K94),0),M94)</f>
        <v>3129.6606363605606</v>
      </c>
      <c r="O94" s="11">
        <f>IF(Components!P94&gt;0,PPMT(EarningsRate,1,Components!$K94,0,-Components!P94*((1+InflationRate)^Components!$K94),0),N94)</f>
        <v>4414.6954148149161</v>
      </c>
      <c r="P94" s="11">
        <f>IF(Components!Q94&gt;0,PPMT(EarningsRate,1,Components!$K94,0,-Components!Q94*((1+InflationRate)^Components!$K94),0),O94)</f>
        <v>4414.6954148149161</v>
      </c>
      <c r="Q94" s="11">
        <f>IF(Components!R94&gt;0,PPMT(EarningsRate,1,Components!$K94,0,-Components!R94*((1+InflationRate)^Components!$K94),0),P94)</f>
        <v>4414.6954148149161</v>
      </c>
      <c r="R94" s="11">
        <f>IF(Components!S94&gt;0,PPMT(EarningsRate,1,Components!$K94,0,-Components!S94*((1+InflationRate)^Components!$K94),0),Q94)</f>
        <v>4414.6954148149161</v>
      </c>
      <c r="S94" s="11">
        <f>IF(Components!T94&gt;0,PPMT(EarningsRate,1,Components!$K94,0,-Components!T94*((1+InflationRate)^Components!$K94),0),R94)</f>
        <v>4414.6954148149161</v>
      </c>
      <c r="T94" s="11">
        <f>IF(Components!U94&gt;0,PPMT(EarningsRate,1,Components!$K94,0,-Components!U94*((1+InflationRate)^Components!$K94),0),S94)</f>
        <v>4414.6954148149161</v>
      </c>
      <c r="U94" s="11">
        <f>IF(Components!V94&gt;0,PPMT(EarningsRate,1,Components!$K94,0,-Components!V94*((1+InflationRate)^Components!$K94),0),T94)</f>
        <v>4414.6954148149161</v>
      </c>
      <c r="V94" s="11">
        <f>IF(Components!W94&gt;0,PPMT(EarningsRate,1,Components!$K94,0,-Components!W94*((1+InflationRate)^Components!$K94),0),U94)</f>
        <v>4414.6954148149161</v>
      </c>
      <c r="W94" s="11">
        <f>IF(Components!X94&gt;0,PPMT(EarningsRate,1,Components!$K94,0,-Components!X94*((1+InflationRate)^Components!$K94),0),V94)</f>
        <v>4414.6954148149161</v>
      </c>
      <c r="X94" s="11">
        <f>IF(Components!Y94&gt;0,PPMT(EarningsRate,1,Components!$K94,0,-Components!Y94*((1+InflationRate)^Components!$K94),0),W94)</f>
        <v>4414.6954148149161</v>
      </c>
      <c r="Y94" s="11">
        <f>IF(Components!Z94&gt;0,PPMT(EarningsRate,1,Components!$K94,0,-Components!Z94*((1+InflationRate)^Components!$K94),0),X94)</f>
        <v>6227.3288804632293</v>
      </c>
      <c r="Z94" s="11">
        <f>IF(Components!AA94&gt;0,PPMT(EarningsRate,1,Components!$K94,0,-Components!AA94*((1+InflationRate)^Components!$K94),0),Y94)</f>
        <v>6227.3288804632293</v>
      </c>
      <c r="AA94" s="11">
        <f>IF(Components!AB94&gt;0,PPMT(EarningsRate,1,Components!$K94,0,-Components!AB94*((1+InflationRate)^Components!$K94),0),Z94)</f>
        <v>6227.3288804632293</v>
      </c>
      <c r="AB94" s="11">
        <f>IF(Components!AC94&gt;0,PPMT(EarningsRate,1,Components!$K94,0,-Components!AC94*((1+InflationRate)^Components!$K94),0),AA94)</f>
        <v>6227.3288804632293</v>
      </c>
      <c r="AC94" s="11">
        <f>IF(Components!AD94&gt;0,PPMT(EarningsRate,1,Components!$K94,0,-Components!AD94*((1+InflationRate)^Components!$K94),0),AB94)</f>
        <v>6227.3288804632293</v>
      </c>
      <c r="AD94" s="11">
        <f>IF(Components!AE94&gt;0,PPMT(EarningsRate,1,Components!$K94,0,-Components!AE94*((1+InflationRate)^Components!$K94),0),AC94)</f>
        <v>6227.3288804632293</v>
      </c>
      <c r="AE94" s="11">
        <f>IF(Components!AF94&gt;0,PPMT(EarningsRate,1,Components!$K94,0,-Components!AF94*((1+InflationRate)^Components!$K94),0),AD94)</f>
        <v>6227.3288804632293</v>
      </c>
      <c r="AF94" s="11">
        <f>IF(Components!AG94&gt;0,PPMT(EarningsRate,1,Components!$K94,0,-Components!AG94*((1+InflationRate)^Components!$K94),0),AE94)</f>
        <v>6227.3288804632293</v>
      </c>
      <c r="AG94" s="11">
        <f>IF(Components!AH94&gt;0,PPMT(EarningsRate,1,Components!$K94,0,-Components!AH94*((1+InflationRate)^Components!$K94),0),AF94)</f>
        <v>6227.3288804632293</v>
      </c>
      <c r="AH94" s="11">
        <f>IF(Components!AI94&gt;0,PPMT(EarningsRate,1,Components!$K94,0,-Components!AI94*((1+InflationRate)^Components!$K94),0),AG94)</f>
        <v>6227.3288804632293</v>
      </c>
      <c r="AI94" s="11">
        <f>IF(Components!AJ94&gt;0,PPMT(EarningsRate,1,Components!$K94,0,-Components!AJ94*((1+InflationRate)^Components!$K94),0),AH94)</f>
        <v>8784.2513192012375</v>
      </c>
      <c r="AJ94" s="11">
        <f>IF(Components!AK94&gt;0,PPMT(EarningsRate,1,Components!$K94,0,-Components!AK94*((1+InflationRate)^Components!$K94),0),AI94)</f>
        <v>8784.2513192012375</v>
      </c>
      <c r="AK94" s="11">
        <f>IF(Components!AL94&gt;0,PPMT(EarningsRate,1,Components!$K94,0,-Components!AL94*((1+InflationRate)^Components!$K94),0),AJ94)</f>
        <v>8784.2513192012375</v>
      </c>
      <c r="AL94" s="11">
        <f>IF(Components!AM94&gt;0,PPMT(EarningsRate,1,Components!$K94,0,-Components!AM94*((1+InflationRate)^Components!$K94),0),AK94)</f>
        <v>8784.2513192012375</v>
      </c>
      <c r="AM94" s="11">
        <f>IF(Components!AN94&gt;0,PPMT(EarningsRate,1,Components!$K94,0,-Components!AN94*((1+InflationRate)^Components!$K94),0),AL94)</f>
        <v>8784.2513192012375</v>
      </c>
      <c r="AN94" s="11">
        <f>IF(Components!AO94&gt;0,PPMT(EarningsRate,1,Components!$K94,0,-Components!AO94*((1+InflationRate)^Components!$K94),0),AM94)</f>
        <v>8784.2513192012375</v>
      </c>
      <c r="AO94" s="11">
        <f>IF(Components!AP94&gt;0,PPMT(EarningsRate,1,Components!$K94,0,-Components!AP94*((1+InflationRate)^Components!$K94),0),AN94)</f>
        <v>8784.2513192012375</v>
      </c>
      <c r="AP94" s="214"/>
      <c r="AQ94" s="11">
        <f t="shared" si="2"/>
        <v>180428.64483263233</v>
      </c>
    </row>
    <row r="95" spans="1:43" s="1" customFormat="1">
      <c r="A95" s="220" t="str">
        <f>Components!B95</f>
        <v>Restaurant</v>
      </c>
      <c r="B95" s="220" t="str">
        <f>Components!C95</f>
        <v>Restaurant bar stools</v>
      </c>
      <c r="C95" s="211"/>
      <c r="D95" s="211"/>
      <c r="E95" s="211"/>
      <c r="F95" s="88"/>
      <c r="G95" s="212"/>
      <c r="H95" s="212"/>
      <c r="I95" s="212"/>
      <c r="J95" s="211"/>
      <c r="K95" s="11">
        <f>IF('FF Balance'!H95&gt;=0,PPMT(EarningsRate,1,Components!K95,0,-'FF Balance'!G95,0),0)</f>
        <v>471.38449552266019</v>
      </c>
      <c r="L95" s="11">
        <f>IF(Components!M95&gt;0,PPMT(EarningsRate,1,Components!$K95,0,-Components!M95*((1+InflationRate)^Components!$K95),0),K95)</f>
        <v>471.38449552266019</v>
      </c>
      <c r="M95" s="11">
        <f>IF(Components!N95&gt;0,PPMT(EarningsRate,1,Components!$K95,0,-Components!N95*((1+InflationRate)^Components!$K95),0),L95)</f>
        <v>471.38449552266019</v>
      </c>
      <c r="N95" s="11">
        <f>IF(Components!O95&gt;0,PPMT(EarningsRate,1,Components!$K95,0,-Components!O95*((1+InflationRate)^Components!$K95),0),M95)</f>
        <v>471.38449552266019</v>
      </c>
      <c r="O95" s="11">
        <f>IF(Components!P95&gt;0,PPMT(EarningsRate,1,Components!$K95,0,-Components!P95*((1+InflationRate)^Components!$K95),0),N95)</f>
        <v>471.38449552266019</v>
      </c>
      <c r="P95" s="11">
        <f>IF(Components!Q95&gt;0,PPMT(EarningsRate,1,Components!$K95,0,-Components!Q95*((1+InflationRate)^Components!$K95),0),O95)</f>
        <v>471.38449552266019</v>
      </c>
      <c r="Q95" s="11">
        <f>IF(Components!R95&gt;0,PPMT(EarningsRate,1,Components!$K95,0,-Components!R95*((1+InflationRate)^Components!$K95),0),P95)</f>
        <v>471.38449552266019</v>
      </c>
      <c r="R95" s="11">
        <f>IF(Components!S95&gt;0,PPMT(EarningsRate,1,Components!$K95,0,-Components!S95*((1+InflationRate)^Components!$K95),0),Q95)</f>
        <v>471.38449552266019</v>
      </c>
      <c r="S95" s="11">
        <f>IF(Components!T95&gt;0,PPMT(EarningsRate,1,Components!$K95,0,-Components!T95*((1+InflationRate)^Components!$K95),0),R95)</f>
        <v>789.73346340858529</v>
      </c>
      <c r="T95" s="11">
        <f>IF(Components!U95&gt;0,PPMT(EarningsRate,1,Components!$K95,0,-Components!U95*((1+InflationRate)^Components!$K95),0),S95)</f>
        <v>789.73346340858529</v>
      </c>
      <c r="U95" s="11">
        <f>IF(Components!V95&gt;0,PPMT(EarningsRate,1,Components!$K95,0,-Components!V95*((1+InflationRate)^Components!$K95),0),T95)</f>
        <v>789.73346340858529</v>
      </c>
      <c r="V95" s="11">
        <f>IF(Components!W95&gt;0,PPMT(EarningsRate,1,Components!$K95,0,-Components!W95*((1+InflationRate)^Components!$K95),0),U95)</f>
        <v>789.73346340858529</v>
      </c>
      <c r="W95" s="11">
        <f>IF(Components!X95&gt;0,PPMT(EarningsRate,1,Components!$K95,0,-Components!X95*((1+InflationRate)^Components!$K95),0),V95)</f>
        <v>789.73346340858529</v>
      </c>
      <c r="X95" s="11">
        <f>IF(Components!Y95&gt;0,PPMT(EarningsRate,1,Components!$K95,0,-Components!Y95*((1+InflationRate)^Components!$K95),0),W95)</f>
        <v>789.73346340858529</v>
      </c>
      <c r="Y95" s="11">
        <f>IF(Components!Z95&gt;0,PPMT(EarningsRate,1,Components!$K95,0,-Components!Z95*((1+InflationRate)^Components!$K95),0),X95)</f>
        <v>789.73346340858529</v>
      </c>
      <c r="Z95" s="11">
        <f>IF(Components!AA95&gt;0,PPMT(EarningsRate,1,Components!$K95,0,-Components!AA95*((1+InflationRate)^Components!$K95),0),Y95)</f>
        <v>789.73346340858529</v>
      </c>
      <c r="AA95" s="11">
        <f>IF(Components!AB95&gt;0,PPMT(EarningsRate,1,Components!$K95,0,-Components!AB95*((1+InflationRate)^Components!$K95),0),Z95)</f>
        <v>789.73346340858529</v>
      </c>
      <c r="AB95" s="11">
        <f>IF(Components!AC95&gt;0,PPMT(EarningsRate,1,Components!$K95,0,-Components!AC95*((1+InflationRate)^Components!$K95),0),AA95)</f>
        <v>789.73346340858529</v>
      </c>
      <c r="AC95" s="11">
        <f>IF(Components!AD95&gt;0,PPMT(EarningsRate,1,Components!$K95,0,-Components!AD95*((1+InflationRate)^Components!$K95),0),AB95)</f>
        <v>789.73346340858529</v>
      </c>
      <c r="AD95" s="11">
        <f>IF(Components!AE95&gt;0,PPMT(EarningsRate,1,Components!$K95,0,-Components!AE95*((1+InflationRate)^Components!$K95),0),AC95)</f>
        <v>789.73346340858529</v>
      </c>
      <c r="AE95" s="11">
        <f>IF(Components!AF95&gt;0,PPMT(EarningsRate,1,Components!$K95,0,-Components!AF95*((1+InflationRate)^Components!$K95),0),AD95)</f>
        <v>789.73346340858529</v>
      </c>
      <c r="AF95" s="11">
        <f>IF(Components!AG95&gt;0,PPMT(EarningsRate,1,Components!$K95,0,-Components!AG95*((1+InflationRate)^Components!$K95),0),AE95)</f>
        <v>789.73346340858529</v>
      </c>
      <c r="AG95" s="11">
        <f>IF(Components!AH95&gt;0,PPMT(EarningsRate,1,Components!$K95,0,-Components!AH95*((1+InflationRate)^Components!$K95),0),AF95)</f>
        <v>789.73346340858529</v>
      </c>
      <c r="AH95" s="11">
        <f>IF(Components!AI95&gt;0,PPMT(EarningsRate,1,Components!$K95,0,-Components!AI95*((1+InflationRate)^Components!$K95),0),AG95)</f>
        <v>1323.0512145473754</v>
      </c>
      <c r="AI95" s="11">
        <f>IF(Components!AJ95&gt;0,PPMT(EarningsRate,1,Components!$K95,0,-Components!AJ95*((1+InflationRate)^Components!$K95),0),AH95)</f>
        <v>1323.0512145473754</v>
      </c>
      <c r="AJ95" s="11">
        <f>IF(Components!AK95&gt;0,PPMT(EarningsRate,1,Components!$K95,0,-Components!AK95*((1+InflationRate)^Components!$K95),0),AI95)</f>
        <v>1323.0512145473754</v>
      </c>
      <c r="AK95" s="11">
        <f>IF(Components!AL95&gt;0,PPMT(EarningsRate,1,Components!$K95,0,-Components!AL95*((1+InflationRate)^Components!$K95),0),AJ95)</f>
        <v>1323.0512145473754</v>
      </c>
      <c r="AL95" s="11">
        <f>IF(Components!AM95&gt;0,PPMT(EarningsRate,1,Components!$K95,0,-Components!AM95*((1+InflationRate)^Components!$K95),0),AK95)</f>
        <v>1323.0512145473754</v>
      </c>
      <c r="AM95" s="11">
        <f>IF(Components!AN95&gt;0,PPMT(EarningsRate,1,Components!$K95,0,-Components!AN95*((1+InflationRate)^Components!$K95),0),AL95)</f>
        <v>1323.0512145473754</v>
      </c>
      <c r="AN95" s="11">
        <f>IF(Components!AO95&gt;0,PPMT(EarningsRate,1,Components!$K95,0,-Components!AO95*((1+InflationRate)^Components!$K95),0),AM95)</f>
        <v>1323.0512145473754</v>
      </c>
      <c r="AO95" s="11">
        <f>IF(Components!AP95&gt;0,PPMT(EarningsRate,1,Components!$K95,0,-Components!AP95*((1+InflationRate)^Components!$K95),0),AN95)</f>
        <v>1323.0512145473754</v>
      </c>
      <c r="AP95" s="214"/>
      <c r="AQ95" s="11">
        <f t="shared" si="2"/>
        <v>26201.487731689078</v>
      </c>
    </row>
    <row r="96" spans="1:43" s="1" customFormat="1">
      <c r="A96" s="220" t="str">
        <f>Components!B96</f>
        <v>Restaurant</v>
      </c>
      <c r="B96" s="220" t="str">
        <f>Components!C96</f>
        <v>Restaurant carpet</v>
      </c>
      <c r="C96" s="211"/>
      <c r="D96" s="211"/>
      <c r="E96" s="211"/>
      <c r="F96" s="88"/>
      <c r="G96" s="212"/>
      <c r="H96" s="212"/>
      <c r="I96" s="212"/>
      <c r="J96" s="211"/>
      <c r="K96" s="11">
        <f>IF('FF Balance'!H96&gt;=0,PPMT(EarningsRate,1,Components!K96,0,-'FF Balance'!G96,0),0)</f>
        <v>2146.724208192004</v>
      </c>
      <c r="L96" s="11">
        <f>IF(Components!M96&gt;0,PPMT(EarningsRate,1,Components!$K96,0,-Components!M96*((1+InflationRate)^Components!$K96),0),K96)</f>
        <v>2146.724208192004</v>
      </c>
      <c r="M96" s="11">
        <f>IF(Components!N96&gt;0,PPMT(EarningsRate,1,Components!$K96,0,-Components!N96*((1+InflationRate)^Components!$K96),0),L96)</f>
        <v>2146.724208192004</v>
      </c>
      <c r="N96" s="11">
        <f>IF(Components!O96&gt;0,PPMT(EarningsRate,1,Components!$K96,0,-Components!O96*((1+InflationRate)^Components!$K96),0),M96)</f>
        <v>2146.724208192004</v>
      </c>
      <c r="O96" s="11">
        <f>IF(Components!P96&gt;0,PPMT(EarningsRate,1,Components!$K96,0,-Components!P96*((1+InflationRate)^Components!$K96),0),N96)</f>
        <v>2549.6349440702729</v>
      </c>
      <c r="P96" s="11">
        <f>IF(Components!Q96&gt;0,PPMT(EarningsRate,1,Components!$K96,0,-Components!Q96*((1+InflationRate)^Components!$K96),0),O96)</f>
        <v>2549.6349440702729</v>
      </c>
      <c r="Q96" s="11">
        <f>IF(Components!R96&gt;0,PPMT(EarningsRate,1,Components!$K96,0,-Components!R96*((1+InflationRate)^Components!$K96),0),P96)</f>
        <v>2549.6349440702729</v>
      </c>
      <c r="R96" s="11">
        <f>IF(Components!S96&gt;0,PPMT(EarningsRate,1,Components!$K96,0,-Components!S96*((1+InflationRate)^Components!$K96),0),Q96)</f>
        <v>2549.6349440702729</v>
      </c>
      <c r="S96" s="11">
        <f>IF(Components!T96&gt;0,PPMT(EarningsRate,1,Components!$K96,0,-Components!T96*((1+InflationRate)^Components!$K96),0),R96)</f>
        <v>2549.6349440702729</v>
      </c>
      <c r="T96" s="11">
        <f>IF(Components!U96&gt;0,PPMT(EarningsRate,1,Components!$K96,0,-Components!U96*((1+InflationRate)^Components!$K96),0),S96)</f>
        <v>3028.1755030743507</v>
      </c>
      <c r="U96" s="11">
        <f>IF(Components!V96&gt;0,PPMT(EarningsRate,1,Components!$K96,0,-Components!V96*((1+InflationRate)^Components!$K96),0),T96)</f>
        <v>3028.1755030743507</v>
      </c>
      <c r="V96" s="11">
        <f>IF(Components!W96&gt;0,PPMT(EarningsRate,1,Components!$K96,0,-Components!W96*((1+InflationRate)^Components!$K96),0),U96)</f>
        <v>3028.1755030743507</v>
      </c>
      <c r="W96" s="11">
        <f>IF(Components!X96&gt;0,PPMT(EarningsRate,1,Components!$K96,0,-Components!X96*((1+InflationRate)^Components!$K96),0),V96)</f>
        <v>3028.1755030743507</v>
      </c>
      <c r="X96" s="11">
        <f>IF(Components!Y96&gt;0,PPMT(EarningsRate,1,Components!$K96,0,-Components!Y96*((1+InflationRate)^Components!$K96),0),W96)</f>
        <v>3028.1755030743507</v>
      </c>
      <c r="Y96" s="11">
        <f>IF(Components!Z96&gt;0,PPMT(EarningsRate,1,Components!$K96,0,-Components!Z96*((1+InflationRate)^Components!$K96),0),X96)</f>
        <v>3596.456652391425</v>
      </c>
      <c r="Z96" s="11">
        <f>IF(Components!AA96&gt;0,PPMT(EarningsRate,1,Components!$K96,0,-Components!AA96*((1+InflationRate)^Components!$K96),0),Y96)</f>
        <v>3596.456652391425</v>
      </c>
      <c r="AA96" s="11">
        <f>IF(Components!AB96&gt;0,PPMT(EarningsRate,1,Components!$K96,0,-Components!AB96*((1+InflationRate)^Components!$K96),0),Z96)</f>
        <v>3596.456652391425</v>
      </c>
      <c r="AB96" s="11">
        <f>IF(Components!AC96&gt;0,PPMT(EarningsRate,1,Components!$K96,0,-Components!AC96*((1+InflationRate)^Components!$K96),0),AA96)</f>
        <v>3596.456652391425</v>
      </c>
      <c r="AC96" s="11">
        <f>IF(Components!AD96&gt;0,PPMT(EarningsRate,1,Components!$K96,0,-Components!AD96*((1+InflationRate)^Components!$K96),0),AB96)</f>
        <v>3596.456652391425</v>
      </c>
      <c r="AD96" s="11">
        <f>IF(Components!AE96&gt;0,PPMT(EarningsRate,1,Components!$K96,0,-Components!AE96*((1+InflationRate)^Components!$K96),0),AC96)</f>
        <v>4271.5609917003658</v>
      </c>
      <c r="AE96" s="11">
        <f>IF(Components!AF96&gt;0,PPMT(EarningsRate,1,Components!$K96,0,-Components!AF96*((1+InflationRate)^Components!$K96),0),AD96)</f>
        <v>4271.5609917003658</v>
      </c>
      <c r="AF96" s="11">
        <f>IF(Components!AG96&gt;0,PPMT(EarningsRate,1,Components!$K96,0,-Components!AG96*((1+InflationRate)^Components!$K96),0),AE96)</f>
        <v>4271.5609917003658</v>
      </c>
      <c r="AG96" s="11">
        <f>IF(Components!AH96&gt;0,PPMT(EarningsRate,1,Components!$K96,0,-Components!AH96*((1+InflationRate)^Components!$K96),0),AF96)</f>
        <v>4271.5609917003658</v>
      </c>
      <c r="AH96" s="11">
        <f>IF(Components!AI96&gt;0,PPMT(EarningsRate,1,Components!$K96,0,-Components!AI96*((1+InflationRate)^Components!$K96),0),AG96)</f>
        <v>4271.5609917003658</v>
      </c>
      <c r="AI96" s="11">
        <f>IF(Components!AJ96&gt;0,PPMT(EarningsRate,1,Components!$K96,0,-Components!AJ96*((1+InflationRate)^Components!$K96),0),AH96)</f>
        <v>5073.3043366286638</v>
      </c>
      <c r="AJ96" s="11">
        <f>IF(Components!AK96&gt;0,PPMT(EarningsRate,1,Components!$K96,0,-Components!AK96*((1+InflationRate)^Components!$K96),0),AI96)</f>
        <v>5073.3043366286638</v>
      </c>
      <c r="AK96" s="11">
        <f>IF(Components!AL96&gt;0,PPMT(EarningsRate,1,Components!$K96,0,-Components!AL96*((1+InflationRate)^Components!$K96),0),AJ96)</f>
        <v>5073.3043366286638</v>
      </c>
      <c r="AL96" s="11">
        <f>IF(Components!AM96&gt;0,PPMT(EarningsRate,1,Components!$K96,0,-Components!AM96*((1+InflationRate)^Components!$K96),0),AK96)</f>
        <v>5073.3043366286638</v>
      </c>
      <c r="AM96" s="11">
        <f>IF(Components!AN96&gt;0,PPMT(EarningsRate,1,Components!$K96,0,-Components!AN96*((1+InflationRate)^Components!$K96),0),AL96)</f>
        <v>5073.3043366286638</v>
      </c>
      <c r="AN96" s="11">
        <f>IF(Components!AO96&gt;0,PPMT(EarningsRate,1,Components!$K96,0,-Components!AO96*((1+InflationRate)^Components!$K96),0),AM96)</f>
        <v>6025.3745587310159</v>
      </c>
      <c r="AO96" s="11">
        <f>IF(Components!AP96&gt;0,PPMT(EarningsRate,1,Components!$K96,0,-Components!AP96*((1+InflationRate)^Components!$K96),0),AN96)</f>
        <v>6025.3745587310159</v>
      </c>
      <c r="AP96" s="214"/>
      <c r="AQ96" s="11">
        <f t="shared" si="2"/>
        <v>113233.30818955541</v>
      </c>
    </row>
    <row r="97" spans="1:43" s="1" customFormat="1">
      <c r="A97" s="220" t="str">
        <f>Components!B97</f>
        <v>Restaurant</v>
      </c>
      <c r="B97" s="220" t="str">
        <f>Components!C97</f>
        <v>Restaurant dining tables 48"</v>
      </c>
      <c r="C97" s="211"/>
      <c r="D97" s="211"/>
      <c r="E97" s="211"/>
      <c r="F97" s="88"/>
      <c r="G97" s="212"/>
      <c r="H97" s="212"/>
      <c r="I97" s="212"/>
      <c r="J97" s="211"/>
      <c r="K97" s="11">
        <f>IF('FF Balance'!H97&gt;=0,PPMT(EarningsRate,1,Components!K97,0,-'FF Balance'!G97,0),0)</f>
        <v>807.91547990383583</v>
      </c>
      <c r="L97" s="11">
        <f>IF(Components!M97&gt;0,PPMT(EarningsRate,1,Components!$K97,0,-Components!M97*((1+InflationRate)^Components!$K97),0),K97)</f>
        <v>807.91547990383583</v>
      </c>
      <c r="M97" s="11">
        <f>IF(Components!N97&gt;0,PPMT(EarningsRate,1,Components!$K97,0,-Components!N97*((1+InflationRate)^Components!$K97),0),L97)</f>
        <v>807.91547990383583</v>
      </c>
      <c r="N97" s="11">
        <f>IF(Components!O97&gt;0,PPMT(EarningsRate,1,Components!$K97,0,-Components!O97*((1+InflationRate)^Components!$K97),0),M97)</f>
        <v>807.91547990383583</v>
      </c>
      <c r="O97" s="11">
        <f>IF(Components!P97&gt;0,PPMT(EarningsRate,1,Components!$K97,0,-Components!P97*((1+InflationRate)^Components!$K97),0),N97)</f>
        <v>807.91547990383583</v>
      </c>
      <c r="P97" s="11">
        <f>IF(Components!Q97&gt;0,PPMT(EarningsRate,1,Components!$K97,0,-Components!Q97*((1+InflationRate)^Components!$K97),0),O97)</f>
        <v>807.91547990383583</v>
      </c>
      <c r="Q97" s="11">
        <f>IF(Components!R97&gt;0,PPMT(EarningsRate,1,Components!$K97,0,-Components!R97*((1+InflationRate)^Components!$K97),0),P97)</f>
        <v>807.91547990383583</v>
      </c>
      <c r="R97" s="11">
        <f>IF(Components!S97&gt;0,PPMT(EarningsRate,1,Components!$K97,0,-Components!S97*((1+InflationRate)^Components!$K97),0),Q97)</f>
        <v>807.91547990383583</v>
      </c>
      <c r="S97" s="11">
        <f>IF(Components!T97&gt;0,PPMT(EarningsRate,1,Components!$K97,0,-Components!T97*((1+InflationRate)^Components!$K97),0),R97)</f>
        <v>1353.5402546034613</v>
      </c>
      <c r="T97" s="11">
        <f>IF(Components!U97&gt;0,PPMT(EarningsRate,1,Components!$K97,0,-Components!U97*((1+InflationRate)^Components!$K97),0),S97)</f>
        <v>1353.5402546034613</v>
      </c>
      <c r="U97" s="11">
        <f>IF(Components!V97&gt;0,PPMT(EarningsRate,1,Components!$K97,0,-Components!V97*((1+InflationRate)^Components!$K97),0),T97)</f>
        <v>1353.5402546034613</v>
      </c>
      <c r="V97" s="11">
        <f>IF(Components!W97&gt;0,PPMT(EarningsRate,1,Components!$K97,0,-Components!W97*((1+InflationRate)^Components!$K97),0),U97)</f>
        <v>1353.5402546034613</v>
      </c>
      <c r="W97" s="11">
        <f>IF(Components!X97&gt;0,PPMT(EarningsRate,1,Components!$K97,0,-Components!X97*((1+InflationRate)^Components!$K97),0),V97)</f>
        <v>1353.5402546034613</v>
      </c>
      <c r="X97" s="11">
        <f>IF(Components!Y97&gt;0,PPMT(EarningsRate,1,Components!$K97,0,-Components!Y97*((1+InflationRate)^Components!$K97),0),W97)</f>
        <v>1353.5402546034613</v>
      </c>
      <c r="Y97" s="11">
        <f>IF(Components!Z97&gt;0,PPMT(EarningsRate,1,Components!$K97,0,-Components!Z97*((1+InflationRate)^Components!$K97),0),X97)</f>
        <v>1353.5402546034613</v>
      </c>
      <c r="Z97" s="11">
        <f>IF(Components!AA97&gt;0,PPMT(EarningsRate,1,Components!$K97,0,-Components!AA97*((1+InflationRate)^Components!$K97),0),Y97)</f>
        <v>1353.5402546034613</v>
      </c>
      <c r="AA97" s="11">
        <f>IF(Components!AB97&gt;0,PPMT(EarningsRate,1,Components!$K97,0,-Components!AB97*((1+InflationRate)^Components!$K97),0),Z97)</f>
        <v>1353.5402546034613</v>
      </c>
      <c r="AB97" s="11">
        <f>IF(Components!AC97&gt;0,PPMT(EarningsRate,1,Components!$K97,0,-Components!AC97*((1+InflationRate)^Components!$K97),0),AA97)</f>
        <v>1353.5402546034613</v>
      </c>
      <c r="AC97" s="11">
        <f>IF(Components!AD97&gt;0,PPMT(EarningsRate,1,Components!$K97,0,-Components!AD97*((1+InflationRate)^Components!$K97),0),AB97)</f>
        <v>1353.5402546034613</v>
      </c>
      <c r="AD97" s="11">
        <f>IF(Components!AE97&gt;0,PPMT(EarningsRate,1,Components!$K97,0,-Components!AE97*((1+InflationRate)^Components!$K97),0),AC97)</f>
        <v>1353.5402546034613</v>
      </c>
      <c r="AE97" s="11">
        <f>IF(Components!AF97&gt;0,PPMT(EarningsRate,1,Components!$K97,0,-Components!AF97*((1+InflationRate)^Components!$K97),0),AD97)</f>
        <v>1353.5402546034613</v>
      </c>
      <c r="AF97" s="11">
        <f>IF(Components!AG97&gt;0,PPMT(EarningsRate,1,Components!$K97,0,-Components!AG97*((1+InflationRate)^Components!$K97),0),AE97)</f>
        <v>1353.5402546034613</v>
      </c>
      <c r="AG97" s="11">
        <f>IF(Components!AH97&gt;0,PPMT(EarningsRate,1,Components!$K97,0,-Components!AH97*((1+InflationRate)^Components!$K97),0),AF97)</f>
        <v>1353.5402546034613</v>
      </c>
      <c r="AH97" s="11">
        <f>IF(Components!AI97&gt;0,PPMT(EarningsRate,1,Components!$K97,0,-Components!AI97*((1+InflationRate)^Components!$K97),0),AG97)</f>
        <v>2267.6343766635259</v>
      </c>
      <c r="AI97" s="11">
        <f>IF(Components!AJ97&gt;0,PPMT(EarningsRate,1,Components!$K97,0,-Components!AJ97*((1+InflationRate)^Components!$K97),0),AH97)</f>
        <v>2267.6343766635259</v>
      </c>
      <c r="AJ97" s="11">
        <f>IF(Components!AK97&gt;0,PPMT(EarningsRate,1,Components!$K97,0,-Components!AK97*((1+InflationRate)^Components!$K97),0),AI97)</f>
        <v>2267.6343766635259</v>
      </c>
      <c r="AK97" s="11">
        <f>IF(Components!AL97&gt;0,PPMT(EarningsRate,1,Components!$K97,0,-Components!AL97*((1+InflationRate)^Components!$K97),0),AJ97)</f>
        <v>2267.6343766635259</v>
      </c>
      <c r="AL97" s="11">
        <f>IF(Components!AM97&gt;0,PPMT(EarningsRate,1,Components!$K97,0,-Components!AM97*((1+InflationRate)^Components!$K97),0),AK97)</f>
        <v>2267.6343766635259</v>
      </c>
      <c r="AM97" s="11">
        <f>IF(Components!AN97&gt;0,PPMT(EarningsRate,1,Components!$K97,0,-Components!AN97*((1+InflationRate)^Components!$K97),0),AL97)</f>
        <v>2267.6343766635259</v>
      </c>
      <c r="AN97" s="11">
        <f>IF(Components!AO97&gt;0,PPMT(EarningsRate,1,Components!$K97,0,-Components!AO97*((1+InflationRate)^Components!$K97),0),AM97)</f>
        <v>2267.6343766635259</v>
      </c>
      <c r="AO97" s="11">
        <f>IF(Components!AP97&gt;0,PPMT(EarningsRate,1,Components!$K97,0,-Components!AP97*((1+InflationRate)^Components!$K97),0),AN97)</f>
        <v>2267.6343766635259</v>
      </c>
      <c r="AP97" s="214"/>
      <c r="AQ97" s="11">
        <f t="shared" si="2"/>
        <v>44907.502771590807</v>
      </c>
    </row>
    <row r="98" spans="1:43" s="1" customFormat="1">
      <c r="A98" s="220" t="str">
        <f>Components!B98</f>
        <v>Restaurant</v>
      </c>
      <c r="B98" s="220" t="str">
        <f>Components!C98</f>
        <v>Restaurant dining tables 60"</v>
      </c>
      <c r="C98" s="211"/>
      <c r="D98" s="211"/>
      <c r="E98" s="211"/>
      <c r="F98" s="88"/>
      <c r="G98" s="212"/>
      <c r="H98" s="212"/>
      <c r="I98" s="212"/>
      <c r="J98" s="211"/>
      <c r="K98" s="11">
        <f>IF('FF Balance'!H98&gt;=0,PPMT(EarningsRate,1,Components!K98,0,-'FF Balance'!G98,0),0)</f>
        <v>1202.257228746261</v>
      </c>
      <c r="L98" s="11">
        <f>IF(Components!M98&gt;0,PPMT(EarningsRate,1,Components!$K98,0,-Components!M98*((1+InflationRate)^Components!$K98),0),K98)</f>
        <v>1202.257228746261</v>
      </c>
      <c r="M98" s="11">
        <f>IF(Components!N98&gt;0,PPMT(EarningsRate,1,Components!$K98,0,-Components!N98*((1+InflationRate)^Components!$K98),0),L98)</f>
        <v>1202.257228746261</v>
      </c>
      <c r="N98" s="11">
        <f>IF(Components!O98&gt;0,PPMT(EarningsRate,1,Components!$K98,0,-Components!O98*((1+InflationRate)^Components!$K98),0),M98)</f>
        <v>1202.257228746261</v>
      </c>
      <c r="O98" s="11">
        <f>IF(Components!P98&gt;0,PPMT(EarningsRate,1,Components!$K98,0,-Components!P98*((1+InflationRate)^Components!$K98),0),N98)</f>
        <v>1202.257228746261</v>
      </c>
      <c r="P98" s="11">
        <f>IF(Components!Q98&gt;0,PPMT(EarningsRate,1,Components!$K98,0,-Components!Q98*((1+InflationRate)^Components!$K98),0),O98)</f>
        <v>1202.257228746261</v>
      </c>
      <c r="Q98" s="11">
        <f>IF(Components!R98&gt;0,PPMT(EarningsRate,1,Components!$K98,0,-Components!R98*((1+InflationRate)^Components!$K98),0),P98)</f>
        <v>1202.257228746261</v>
      </c>
      <c r="R98" s="11">
        <f>IF(Components!S98&gt;0,PPMT(EarningsRate,1,Components!$K98,0,-Components!S98*((1+InflationRate)^Components!$K98),0),Q98)</f>
        <v>1202.257228746261</v>
      </c>
      <c r="S98" s="11">
        <f>IF(Components!T98&gt;0,PPMT(EarningsRate,1,Components!$K98,0,-Components!T98*((1+InflationRate)^Components!$K98),0),R98)</f>
        <v>2014.2002424433801</v>
      </c>
      <c r="T98" s="11">
        <f>IF(Components!U98&gt;0,PPMT(EarningsRate,1,Components!$K98,0,-Components!U98*((1+InflationRate)^Components!$K98),0),S98)</f>
        <v>2014.2002424433801</v>
      </c>
      <c r="U98" s="11">
        <f>IF(Components!V98&gt;0,PPMT(EarningsRate,1,Components!$K98,0,-Components!V98*((1+InflationRate)^Components!$K98),0),T98)</f>
        <v>2014.2002424433801</v>
      </c>
      <c r="V98" s="11">
        <f>IF(Components!W98&gt;0,PPMT(EarningsRate,1,Components!$K98,0,-Components!W98*((1+InflationRate)^Components!$K98),0),U98)</f>
        <v>2014.2002424433801</v>
      </c>
      <c r="W98" s="11">
        <f>IF(Components!X98&gt;0,PPMT(EarningsRate,1,Components!$K98,0,-Components!X98*((1+InflationRate)^Components!$K98),0),V98)</f>
        <v>2014.2002424433801</v>
      </c>
      <c r="X98" s="11">
        <f>IF(Components!Y98&gt;0,PPMT(EarningsRate,1,Components!$K98,0,-Components!Y98*((1+InflationRate)^Components!$K98),0),W98)</f>
        <v>2014.2002424433801</v>
      </c>
      <c r="Y98" s="11">
        <f>IF(Components!Z98&gt;0,PPMT(EarningsRate,1,Components!$K98,0,-Components!Z98*((1+InflationRate)^Components!$K98),0),X98)</f>
        <v>2014.2002424433801</v>
      </c>
      <c r="Z98" s="11">
        <f>IF(Components!AA98&gt;0,PPMT(EarningsRate,1,Components!$K98,0,-Components!AA98*((1+InflationRate)^Components!$K98),0),Y98)</f>
        <v>2014.2002424433801</v>
      </c>
      <c r="AA98" s="11">
        <f>IF(Components!AB98&gt;0,PPMT(EarningsRate,1,Components!$K98,0,-Components!AB98*((1+InflationRate)^Components!$K98),0),Z98)</f>
        <v>2014.2002424433801</v>
      </c>
      <c r="AB98" s="11">
        <f>IF(Components!AC98&gt;0,PPMT(EarningsRate,1,Components!$K98,0,-Components!AC98*((1+InflationRate)^Components!$K98),0),AA98)</f>
        <v>2014.2002424433801</v>
      </c>
      <c r="AC98" s="11">
        <f>IF(Components!AD98&gt;0,PPMT(EarningsRate,1,Components!$K98,0,-Components!AD98*((1+InflationRate)^Components!$K98),0),AB98)</f>
        <v>2014.2002424433801</v>
      </c>
      <c r="AD98" s="11">
        <f>IF(Components!AE98&gt;0,PPMT(EarningsRate,1,Components!$K98,0,-Components!AE98*((1+InflationRate)^Components!$K98),0),AC98)</f>
        <v>2014.2002424433801</v>
      </c>
      <c r="AE98" s="11">
        <f>IF(Components!AF98&gt;0,PPMT(EarningsRate,1,Components!$K98,0,-Components!AF98*((1+InflationRate)^Components!$K98),0),AD98)</f>
        <v>2014.2002424433801</v>
      </c>
      <c r="AF98" s="11">
        <f>IF(Components!AG98&gt;0,PPMT(EarningsRate,1,Components!$K98,0,-Components!AG98*((1+InflationRate)^Components!$K98),0),AE98)</f>
        <v>2014.2002424433801</v>
      </c>
      <c r="AG98" s="11">
        <f>IF(Components!AH98&gt;0,PPMT(EarningsRate,1,Components!$K98,0,-Components!AH98*((1+InflationRate)^Components!$K98),0),AF98)</f>
        <v>2014.2002424433801</v>
      </c>
      <c r="AH98" s="11">
        <f>IF(Components!AI98&gt;0,PPMT(EarningsRate,1,Components!$K98,0,-Components!AI98*((1+InflationRate)^Components!$K98),0),AG98)</f>
        <v>3374.4730926428224</v>
      </c>
      <c r="AI98" s="11">
        <f>IF(Components!AJ98&gt;0,PPMT(EarningsRate,1,Components!$K98,0,-Components!AJ98*((1+InflationRate)^Components!$K98),0),AH98)</f>
        <v>3374.4730926428224</v>
      </c>
      <c r="AJ98" s="11">
        <f>IF(Components!AK98&gt;0,PPMT(EarningsRate,1,Components!$K98,0,-Components!AK98*((1+InflationRate)^Components!$K98),0),AI98)</f>
        <v>3374.4730926428224</v>
      </c>
      <c r="AK98" s="11">
        <f>IF(Components!AL98&gt;0,PPMT(EarningsRate,1,Components!$K98,0,-Components!AL98*((1+InflationRate)^Components!$K98),0),AJ98)</f>
        <v>3374.4730926428224</v>
      </c>
      <c r="AL98" s="11">
        <f>IF(Components!AM98&gt;0,PPMT(EarningsRate,1,Components!$K98,0,-Components!AM98*((1+InflationRate)^Components!$K98),0),AK98)</f>
        <v>3374.4730926428224</v>
      </c>
      <c r="AM98" s="11">
        <f>IF(Components!AN98&gt;0,PPMT(EarningsRate,1,Components!$K98,0,-Components!AN98*((1+InflationRate)^Components!$K98),0),AL98)</f>
        <v>3374.4730926428224</v>
      </c>
      <c r="AN98" s="11">
        <f>IF(Components!AO98&gt;0,PPMT(EarningsRate,1,Components!$K98,0,-Components!AO98*((1+InflationRate)^Components!$K98),0),AM98)</f>
        <v>3374.4730926428224</v>
      </c>
      <c r="AO98" s="11">
        <f>IF(Components!AP98&gt;0,PPMT(EarningsRate,1,Components!$K98,0,-Components!AP98*((1+InflationRate)^Components!$K98),0),AN98)</f>
        <v>3374.4730926428224</v>
      </c>
      <c r="AP98" s="214"/>
      <c r="AQ98" s="11">
        <f t="shared" si="2"/>
        <v>66826.846307763393</v>
      </c>
    </row>
    <row r="99" spans="1:43" s="1" customFormat="1">
      <c r="A99" s="220" t="str">
        <f>Components!B99</f>
        <v>Restaurant</v>
      </c>
      <c r="B99" s="220" t="str">
        <f>Components!C99</f>
        <v>Restaurant laminate flooring</v>
      </c>
      <c r="C99" s="211"/>
      <c r="D99" s="211"/>
      <c r="E99" s="211"/>
      <c r="F99" s="88"/>
      <c r="G99" s="212"/>
      <c r="H99" s="212"/>
      <c r="I99" s="212"/>
      <c r="J99" s="211"/>
      <c r="K99" s="11">
        <f>IF('FF Balance'!H99&gt;=0,PPMT(EarningsRate,1,Components!K99,0,-'FF Balance'!G99,0),0)</f>
        <v>2304.4724182624723</v>
      </c>
      <c r="L99" s="11">
        <f>IF(Components!M99&gt;0,PPMT(EarningsRate,1,Components!$K99,0,-Components!M99*((1+InflationRate)^Components!$K99),0),K99)</f>
        <v>2304.4724182624723</v>
      </c>
      <c r="M99" s="11">
        <f>IF(Components!N99&gt;0,PPMT(EarningsRate,1,Components!$K99,0,-Components!N99*((1+InflationRate)^Components!$K99),0),L99)</f>
        <v>2304.4724182624723</v>
      </c>
      <c r="N99" s="11">
        <f>IF(Components!O99&gt;0,PPMT(EarningsRate,1,Components!$K99,0,-Components!O99*((1+InflationRate)^Components!$K99),0),M99)</f>
        <v>2304.4724182624723</v>
      </c>
      <c r="O99" s="11">
        <f>IF(Components!P99&gt;0,PPMT(EarningsRate,1,Components!$K99,0,-Components!P99*((1+InflationRate)^Components!$K99),0),N99)</f>
        <v>2304.4724182624723</v>
      </c>
      <c r="P99" s="11">
        <f>IF(Components!Q99&gt;0,PPMT(EarningsRate,1,Components!$K99,0,-Components!Q99*((1+InflationRate)^Components!$K99),0),O99)</f>
        <v>2304.4724182624723</v>
      </c>
      <c r="Q99" s="11">
        <f>IF(Components!R99&gt;0,PPMT(EarningsRate,1,Components!$K99,0,-Components!R99*((1+InflationRate)^Components!$K99),0),P99)</f>
        <v>2304.4724182624723</v>
      </c>
      <c r="R99" s="11">
        <f>IF(Components!S99&gt;0,PPMT(EarningsRate,1,Components!$K99,0,-Components!S99*((1+InflationRate)^Components!$K99),0),Q99)</f>
        <v>2304.4724182624723</v>
      </c>
      <c r="S99" s="11">
        <f>IF(Components!T99&gt;0,PPMT(EarningsRate,1,Components!$K99,0,-Components!T99*((1+InflationRate)^Components!$K99),0),R99)</f>
        <v>2304.4724182624723</v>
      </c>
      <c r="T99" s="11">
        <f>IF(Components!U99&gt;0,PPMT(EarningsRate,1,Components!$K99,0,-Components!U99*((1+InflationRate)^Components!$K99),0),S99)</f>
        <v>3250.6859370866014</v>
      </c>
      <c r="U99" s="11">
        <f>IF(Components!V99&gt;0,PPMT(EarningsRate,1,Components!$K99,0,-Components!V99*((1+InflationRate)^Components!$K99),0),T99)</f>
        <v>3250.6859370866014</v>
      </c>
      <c r="V99" s="11">
        <f>IF(Components!W99&gt;0,PPMT(EarningsRate,1,Components!$K99,0,-Components!W99*((1+InflationRate)^Components!$K99),0),U99)</f>
        <v>3250.6859370866014</v>
      </c>
      <c r="W99" s="11">
        <f>IF(Components!X99&gt;0,PPMT(EarningsRate,1,Components!$K99,0,-Components!X99*((1+InflationRate)^Components!$K99),0),V99)</f>
        <v>3250.6859370866014</v>
      </c>
      <c r="X99" s="11">
        <f>IF(Components!Y99&gt;0,PPMT(EarningsRate,1,Components!$K99,0,-Components!Y99*((1+InflationRate)^Components!$K99),0),W99)</f>
        <v>3250.6859370866014</v>
      </c>
      <c r="Y99" s="11">
        <f>IF(Components!Z99&gt;0,PPMT(EarningsRate,1,Components!$K99,0,-Components!Z99*((1+InflationRate)^Components!$K99),0),X99)</f>
        <v>3250.6859370866014</v>
      </c>
      <c r="Z99" s="11">
        <f>IF(Components!AA99&gt;0,PPMT(EarningsRate,1,Components!$K99,0,-Components!AA99*((1+InflationRate)^Components!$K99),0),Y99)</f>
        <v>3250.6859370866014</v>
      </c>
      <c r="AA99" s="11">
        <f>IF(Components!AB99&gt;0,PPMT(EarningsRate,1,Components!$K99,0,-Components!AB99*((1+InflationRate)^Components!$K99),0),Z99)</f>
        <v>3250.6859370866014</v>
      </c>
      <c r="AB99" s="11">
        <f>IF(Components!AC99&gt;0,PPMT(EarningsRate,1,Components!$K99,0,-Components!AC99*((1+InflationRate)^Components!$K99),0),AA99)</f>
        <v>3250.6859370866014</v>
      </c>
      <c r="AC99" s="11">
        <f>IF(Components!AD99&gt;0,PPMT(EarningsRate,1,Components!$K99,0,-Components!AD99*((1+InflationRate)^Components!$K99),0),AB99)</f>
        <v>3250.6859370866014</v>
      </c>
      <c r="AD99" s="11">
        <f>IF(Components!AE99&gt;0,PPMT(EarningsRate,1,Components!$K99,0,-Components!AE99*((1+InflationRate)^Components!$K99),0),AC99)</f>
        <v>4585.3791886230456</v>
      </c>
      <c r="AE99" s="11">
        <f>IF(Components!AF99&gt;0,PPMT(EarningsRate,1,Components!$K99,0,-Components!AF99*((1+InflationRate)^Components!$K99),0),AD99)</f>
        <v>4585.3791886230456</v>
      </c>
      <c r="AF99" s="11">
        <f>IF(Components!AG99&gt;0,PPMT(EarningsRate,1,Components!$K99,0,-Components!AG99*((1+InflationRate)^Components!$K99),0),AE99)</f>
        <v>4585.3791886230456</v>
      </c>
      <c r="AG99" s="11">
        <f>IF(Components!AH99&gt;0,PPMT(EarningsRate,1,Components!$K99,0,-Components!AH99*((1+InflationRate)^Components!$K99),0),AF99)</f>
        <v>4585.3791886230456</v>
      </c>
      <c r="AH99" s="11">
        <f>IF(Components!AI99&gt;0,PPMT(EarningsRate,1,Components!$K99,0,-Components!AI99*((1+InflationRate)^Components!$K99),0),AG99)</f>
        <v>4585.3791886230456</v>
      </c>
      <c r="AI99" s="11">
        <f>IF(Components!AJ99&gt;0,PPMT(EarningsRate,1,Components!$K99,0,-Components!AJ99*((1+InflationRate)^Components!$K99),0),AH99)</f>
        <v>4585.3791886230456</v>
      </c>
      <c r="AJ99" s="11">
        <f>IF(Components!AK99&gt;0,PPMT(EarningsRate,1,Components!$K99,0,-Components!AK99*((1+InflationRate)^Components!$K99),0),AI99)</f>
        <v>4585.3791886230456</v>
      </c>
      <c r="AK99" s="11">
        <f>IF(Components!AL99&gt;0,PPMT(EarningsRate,1,Components!$K99,0,-Components!AL99*((1+InflationRate)^Components!$K99),0),AJ99)</f>
        <v>4585.3791886230456</v>
      </c>
      <c r="AL99" s="11">
        <f>IF(Components!AM99&gt;0,PPMT(EarningsRate,1,Components!$K99,0,-Components!AM99*((1+InflationRate)^Components!$K99),0),AK99)</f>
        <v>4585.3791886230456</v>
      </c>
      <c r="AM99" s="11">
        <f>IF(Components!AN99&gt;0,PPMT(EarningsRate,1,Components!$K99,0,-Components!AN99*((1+InflationRate)^Components!$K99),0),AL99)</f>
        <v>4585.3791886230456</v>
      </c>
      <c r="AN99" s="11">
        <f>IF(Components!AO99&gt;0,PPMT(EarningsRate,1,Components!$K99,0,-Components!AO99*((1+InflationRate)^Components!$K99),0),AM99)</f>
        <v>6468.1584275794339</v>
      </c>
      <c r="AO99" s="11">
        <f>IF(Components!AP99&gt;0,PPMT(EarningsRate,1,Components!$K99,0,-Components!AP99*((1+InflationRate)^Components!$K99),0),AN99)</f>
        <v>6468.1584275794339</v>
      </c>
      <c r="AP99" s="214"/>
      <c r="AQ99" s="11">
        <f t="shared" si="2"/>
        <v>112037.21997661758</v>
      </c>
    </row>
    <row r="100" spans="1:43" s="1" customFormat="1">
      <c r="A100" s="220" t="str">
        <f>Components!B100</f>
        <v>Restaurant</v>
      </c>
      <c r="B100" s="220" t="str">
        <f>Components!C100</f>
        <v>Restaurant Outdoor Freezer</v>
      </c>
      <c r="C100" s="211"/>
      <c r="D100" s="211"/>
      <c r="E100" s="211"/>
      <c r="F100" s="88"/>
      <c r="G100" s="212"/>
      <c r="H100" s="212"/>
      <c r="I100" s="212"/>
      <c r="J100" s="211"/>
      <c r="K100" s="11">
        <f>IF('FF Balance'!H100&gt;=0,PPMT(EarningsRate,1,Components!K100,0,-'FF Balance'!G100,0),0)</f>
        <v>918.09802958825617</v>
      </c>
      <c r="L100" s="11">
        <f>IF(Components!M100&gt;0,PPMT(EarningsRate,1,Components!$K100,0,-Components!M100*((1+InflationRate)^Components!$K100),0),K100)</f>
        <v>918.09802958825617</v>
      </c>
      <c r="M100" s="11">
        <f>IF(Components!N100&gt;0,PPMT(EarningsRate,1,Components!$K100,0,-Components!N100*((1+InflationRate)^Components!$K100),0),L100)</f>
        <v>918.09802958825617</v>
      </c>
      <c r="N100" s="11">
        <f>IF(Components!O100&gt;0,PPMT(EarningsRate,1,Components!$K100,0,-Components!O100*((1+InflationRate)^Components!$K100),0),M100)</f>
        <v>918.09802958825617</v>
      </c>
      <c r="O100" s="11">
        <f>IF(Components!P100&gt;0,PPMT(EarningsRate,1,Components!$K100,0,-Components!P100*((1+InflationRate)^Components!$K100),0),N100)</f>
        <v>1295.0679426658876</v>
      </c>
      <c r="P100" s="11">
        <f>IF(Components!Q100&gt;0,PPMT(EarningsRate,1,Components!$K100,0,-Components!Q100*((1+InflationRate)^Components!$K100),0),O100)</f>
        <v>1295.0679426658876</v>
      </c>
      <c r="Q100" s="11">
        <f>IF(Components!R100&gt;0,PPMT(EarningsRate,1,Components!$K100,0,-Components!R100*((1+InflationRate)^Components!$K100),0),P100)</f>
        <v>1295.0679426658876</v>
      </c>
      <c r="R100" s="11">
        <f>IF(Components!S100&gt;0,PPMT(EarningsRate,1,Components!$K100,0,-Components!S100*((1+InflationRate)^Components!$K100),0),Q100)</f>
        <v>1295.0679426658876</v>
      </c>
      <c r="S100" s="11">
        <f>IF(Components!T100&gt;0,PPMT(EarningsRate,1,Components!$K100,0,-Components!T100*((1+InflationRate)^Components!$K100),0),R100)</f>
        <v>1295.0679426658876</v>
      </c>
      <c r="T100" s="11">
        <f>IF(Components!U100&gt;0,PPMT(EarningsRate,1,Components!$K100,0,-Components!U100*((1+InflationRate)^Components!$K100),0),S100)</f>
        <v>1295.0679426658876</v>
      </c>
      <c r="U100" s="11">
        <f>IF(Components!V100&gt;0,PPMT(EarningsRate,1,Components!$K100,0,-Components!V100*((1+InflationRate)^Components!$K100),0),T100)</f>
        <v>1295.0679426658876</v>
      </c>
      <c r="V100" s="11">
        <f>IF(Components!W100&gt;0,PPMT(EarningsRate,1,Components!$K100,0,-Components!W100*((1+InflationRate)^Components!$K100),0),U100)</f>
        <v>1295.0679426658876</v>
      </c>
      <c r="W100" s="11">
        <f>IF(Components!X100&gt;0,PPMT(EarningsRate,1,Components!$K100,0,-Components!X100*((1+InflationRate)^Components!$K100),0),V100)</f>
        <v>1295.0679426658876</v>
      </c>
      <c r="X100" s="11">
        <f>IF(Components!Y100&gt;0,PPMT(EarningsRate,1,Components!$K100,0,-Components!Y100*((1+InflationRate)^Components!$K100),0),W100)</f>
        <v>1295.0679426658876</v>
      </c>
      <c r="Y100" s="11">
        <f>IF(Components!Z100&gt;0,PPMT(EarningsRate,1,Components!$K100,0,-Components!Z100*((1+InflationRate)^Components!$K100),0),X100)</f>
        <v>1826.8677999027855</v>
      </c>
      <c r="Z100" s="11">
        <f>IF(Components!AA100&gt;0,PPMT(EarningsRate,1,Components!$K100,0,-Components!AA100*((1+InflationRate)^Components!$K100),0),Y100)</f>
        <v>1826.8677999027855</v>
      </c>
      <c r="AA100" s="11">
        <f>IF(Components!AB100&gt;0,PPMT(EarningsRate,1,Components!$K100,0,-Components!AB100*((1+InflationRate)^Components!$K100),0),Z100)</f>
        <v>1826.8677999027855</v>
      </c>
      <c r="AB100" s="11">
        <f>IF(Components!AC100&gt;0,PPMT(EarningsRate,1,Components!$K100,0,-Components!AC100*((1+InflationRate)^Components!$K100),0),AA100)</f>
        <v>1826.8677999027855</v>
      </c>
      <c r="AC100" s="11">
        <f>IF(Components!AD100&gt;0,PPMT(EarningsRate,1,Components!$K100,0,-Components!AD100*((1+InflationRate)^Components!$K100),0),AB100)</f>
        <v>1826.8677999027855</v>
      </c>
      <c r="AD100" s="11">
        <f>IF(Components!AE100&gt;0,PPMT(EarningsRate,1,Components!$K100,0,-Components!AE100*((1+InflationRate)^Components!$K100),0),AC100)</f>
        <v>1826.8677999027855</v>
      </c>
      <c r="AE100" s="11">
        <f>IF(Components!AF100&gt;0,PPMT(EarningsRate,1,Components!$K100,0,-Components!AF100*((1+InflationRate)^Components!$K100),0),AD100)</f>
        <v>1826.8677999027855</v>
      </c>
      <c r="AF100" s="11">
        <f>IF(Components!AG100&gt;0,PPMT(EarningsRate,1,Components!$K100,0,-Components!AG100*((1+InflationRate)^Components!$K100),0),AE100)</f>
        <v>1826.8677999027855</v>
      </c>
      <c r="AG100" s="11">
        <f>IF(Components!AH100&gt;0,PPMT(EarningsRate,1,Components!$K100,0,-Components!AH100*((1+InflationRate)^Components!$K100),0),AF100)</f>
        <v>1826.8677999027855</v>
      </c>
      <c r="AH100" s="11">
        <f>IF(Components!AI100&gt;0,PPMT(EarningsRate,1,Components!$K100,0,-Components!AI100*((1+InflationRate)^Components!$K100),0),AG100)</f>
        <v>1826.8677999027855</v>
      </c>
      <c r="AI100" s="11">
        <f>IF(Components!AJ100&gt;0,PPMT(EarningsRate,1,Components!$K100,0,-Components!AJ100*((1+InflationRate)^Components!$K100),0),AH100)</f>
        <v>2576.9274490415892</v>
      </c>
      <c r="AJ100" s="11">
        <f>IF(Components!AK100&gt;0,PPMT(EarningsRate,1,Components!$K100,0,-Components!AK100*((1+InflationRate)^Components!$K100),0),AI100)</f>
        <v>2576.9274490415892</v>
      </c>
      <c r="AK100" s="11">
        <f>IF(Components!AL100&gt;0,PPMT(EarningsRate,1,Components!$K100,0,-Components!AL100*((1+InflationRate)^Components!$K100),0),AJ100)</f>
        <v>2576.9274490415892</v>
      </c>
      <c r="AL100" s="11">
        <f>IF(Components!AM100&gt;0,PPMT(EarningsRate,1,Components!$K100,0,-Components!AM100*((1+InflationRate)^Components!$K100),0),AK100)</f>
        <v>2576.9274490415892</v>
      </c>
      <c r="AM100" s="11">
        <f>IF(Components!AN100&gt;0,PPMT(EarningsRate,1,Components!$K100,0,-Components!AN100*((1+InflationRate)^Components!$K100),0),AL100)</f>
        <v>2576.9274490415892</v>
      </c>
      <c r="AN100" s="11">
        <f>IF(Components!AO100&gt;0,PPMT(EarningsRate,1,Components!$K100,0,-Components!AO100*((1+InflationRate)^Components!$K100),0),AM100)</f>
        <v>2576.9274490415892</v>
      </c>
      <c r="AO100" s="11">
        <f>IF(Components!AP100&gt;0,PPMT(EarningsRate,1,Components!$K100,0,-Components!AP100*((1+InflationRate)^Components!$K100),0),AN100)</f>
        <v>2576.9274490415892</v>
      </c>
      <c r="AP100" s="214"/>
      <c r="AQ100" s="11">
        <f t="shared" si="2"/>
        <v>52930.241787330902</v>
      </c>
    </row>
    <row r="101" spans="1:43" s="1" customFormat="1">
      <c r="A101" s="220" t="str">
        <f>Components!B101</f>
        <v>Restaurant</v>
      </c>
      <c r="B101" s="220" t="str">
        <f>Components!C101</f>
        <v>Restaurant Point of Sale System</v>
      </c>
      <c r="C101" s="211"/>
      <c r="D101" s="211"/>
      <c r="E101" s="211"/>
      <c r="F101" s="88"/>
      <c r="G101" s="212"/>
      <c r="H101" s="212"/>
      <c r="I101" s="212"/>
      <c r="J101" s="211"/>
      <c r="K101" s="11">
        <f>IF('FF Balance'!H101&gt;=0,PPMT(EarningsRate,1,Components!K101,0,-'FF Balance'!G101,0),0)</f>
        <v>1870.4394408261835</v>
      </c>
      <c r="L101" s="11">
        <f>IF(Components!M101&gt;0,PPMT(EarningsRate,1,Components!$K101,0,-Components!M101*((1+InflationRate)^Components!$K101),0),K101)</f>
        <v>1870.4394408261835</v>
      </c>
      <c r="M101" s="11">
        <f>IF(Components!N101&gt;0,PPMT(EarningsRate,1,Components!$K101,0,-Components!N101*((1+InflationRate)^Components!$K101),0),L101)</f>
        <v>1870.4394408261835</v>
      </c>
      <c r="N101" s="11">
        <f>IF(Components!O101&gt;0,PPMT(EarningsRate,1,Components!$K101,0,-Components!O101*((1+InflationRate)^Components!$K101),0),M101)</f>
        <v>1870.4394408261835</v>
      </c>
      <c r="O101" s="11">
        <f>IF(Components!P101&gt;0,PPMT(EarningsRate,1,Components!$K101,0,-Components!P101*((1+InflationRate)^Components!$K101),0),N101)</f>
        <v>1870.4394408261835</v>
      </c>
      <c r="P101" s="11">
        <f>IF(Components!Q101&gt;0,PPMT(EarningsRate,1,Components!$K101,0,-Components!Q101*((1+InflationRate)^Components!$K101),0),O101)</f>
        <v>1870.4394408261835</v>
      </c>
      <c r="Q101" s="11">
        <f>IF(Components!R101&gt;0,PPMT(EarningsRate,1,Components!$K101,0,-Components!R101*((1+InflationRate)^Components!$K101),0),P101)</f>
        <v>1870.4394408261835</v>
      </c>
      <c r="R101" s="11">
        <f>IF(Components!S101&gt;0,PPMT(EarningsRate,1,Components!$K101,0,-Components!S101*((1+InflationRate)^Components!$K101),0),Q101)</f>
        <v>1870.4394408261835</v>
      </c>
      <c r="S101" s="11">
        <f>IF(Components!T101&gt;0,PPMT(EarningsRate,1,Components!$K101,0,-Components!T101*((1+InflationRate)^Components!$K101),0),R101)</f>
        <v>1870.4394408261835</v>
      </c>
      <c r="T101" s="11">
        <f>IF(Components!U101&gt;0,PPMT(EarningsRate,1,Components!$K101,0,-Components!U101*((1+InflationRate)^Components!$K101),0),S101)</f>
        <v>3133.6385301808687</v>
      </c>
      <c r="U101" s="11">
        <f>IF(Components!V101&gt;0,PPMT(EarningsRate,1,Components!$K101,0,-Components!V101*((1+InflationRate)^Components!$K101),0),T101)</f>
        <v>3133.6385301808687</v>
      </c>
      <c r="V101" s="11">
        <f>IF(Components!W101&gt;0,PPMT(EarningsRate,1,Components!$K101,0,-Components!W101*((1+InflationRate)^Components!$K101),0),U101)</f>
        <v>3133.6385301808687</v>
      </c>
      <c r="W101" s="11">
        <f>IF(Components!X101&gt;0,PPMT(EarningsRate,1,Components!$K101,0,-Components!X101*((1+InflationRate)^Components!$K101),0),V101)</f>
        <v>3133.6385301808687</v>
      </c>
      <c r="X101" s="11">
        <f>IF(Components!Y101&gt;0,PPMT(EarningsRate,1,Components!$K101,0,-Components!Y101*((1+InflationRate)^Components!$K101),0),W101)</f>
        <v>3133.6385301808687</v>
      </c>
      <c r="Y101" s="11">
        <f>IF(Components!Z101&gt;0,PPMT(EarningsRate,1,Components!$K101,0,-Components!Z101*((1+InflationRate)^Components!$K101),0),X101)</f>
        <v>3133.6385301808687</v>
      </c>
      <c r="Z101" s="11">
        <f>IF(Components!AA101&gt;0,PPMT(EarningsRate,1,Components!$K101,0,-Components!AA101*((1+InflationRate)^Components!$K101),0),Y101)</f>
        <v>3133.6385301808687</v>
      </c>
      <c r="AA101" s="11">
        <f>IF(Components!AB101&gt;0,PPMT(EarningsRate,1,Components!$K101,0,-Components!AB101*((1+InflationRate)^Components!$K101),0),Z101)</f>
        <v>3133.6385301808687</v>
      </c>
      <c r="AB101" s="11">
        <f>IF(Components!AC101&gt;0,PPMT(EarningsRate,1,Components!$K101,0,-Components!AC101*((1+InflationRate)^Components!$K101),0),AA101)</f>
        <v>3133.6385301808687</v>
      </c>
      <c r="AC101" s="11">
        <f>IF(Components!AD101&gt;0,PPMT(EarningsRate,1,Components!$K101,0,-Components!AD101*((1+InflationRate)^Components!$K101),0),AB101)</f>
        <v>3133.6385301808687</v>
      </c>
      <c r="AD101" s="11">
        <f>IF(Components!AE101&gt;0,PPMT(EarningsRate,1,Components!$K101,0,-Components!AE101*((1+InflationRate)^Components!$K101),0),AC101)</f>
        <v>3133.6385301808687</v>
      </c>
      <c r="AE101" s="11">
        <f>IF(Components!AF101&gt;0,PPMT(EarningsRate,1,Components!$K101,0,-Components!AF101*((1+InflationRate)^Components!$K101),0),AD101)</f>
        <v>3133.6385301808687</v>
      </c>
      <c r="AF101" s="11">
        <f>IF(Components!AG101&gt;0,PPMT(EarningsRate,1,Components!$K101,0,-Components!AG101*((1+InflationRate)^Components!$K101),0),AE101)</f>
        <v>3133.6385301808687</v>
      </c>
      <c r="AG101" s="11">
        <f>IF(Components!AH101&gt;0,PPMT(EarningsRate,1,Components!$K101,0,-Components!AH101*((1+InflationRate)^Components!$K101),0),AF101)</f>
        <v>3133.6385301808687</v>
      </c>
      <c r="AH101" s="11">
        <f>IF(Components!AI101&gt;0,PPMT(EarningsRate,1,Components!$K101,0,-Components!AI101*((1+InflationRate)^Components!$K101),0),AG101)</f>
        <v>3133.6385301808687</v>
      </c>
      <c r="AI101" s="11">
        <f>IF(Components!AJ101&gt;0,PPMT(EarningsRate,1,Components!$K101,0,-Components!AJ101*((1+InflationRate)^Components!$K101),0),AH101)</f>
        <v>5249.8856858719064</v>
      </c>
      <c r="AJ101" s="11">
        <f>IF(Components!AK101&gt;0,PPMT(EarningsRate,1,Components!$K101,0,-Components!AK101*((1+InflationRate)^Components!$K101),0),AI101)</f>
        <v>5249.8856858719064</v>
      </c>
      <c r="AK101" s="11">
        <f>IF(Components!AL101&gt;0,PPMT(EarningsRate,1,Components!$K101,0,-Components!AL101*((1+InflationRate)^Components!$K101),0),AJ101)</f>
        <v>5249.8856858719064</v>
      </c>
      <c r="AL101" s="11">
        <f>IF(Components!AM101&gt;0,PPMT(EarningsRate,1,Components!$K101,0,-Components!AM101*((1+InflationRate)^Components!$K101),0),AK101)</f>
        <v>5249.8856858719064</v>
      </c>
      <c r="AM101" s="11">
        <f>IF(Components!AN101&gt;0,PPMT(EarningsRate,1,Components!$K101,0,-Components!AN101*((1+InflationRate)^Components!$K101),0),AL101)</f>
        <v>5249.8856858719064</v>
      </c>
      <c r="AN101" s="11">
        <f>IF(Components!AO101&gt;0,PPMT(EarningsRate,1,Components!$K101,0,-Components!AO101*((1+InflationRate)^Components!$K101),0),AM101)</f>
        <v>5249.8856858719064</v>
      </c>
      <c r="AO101" s="11">
        <f>IF(Components!AP101&gt;0,PPMT(EarningsRate,1,Components!$K101,0,-Components!AP101*((1+InflationRate)^Components!$K101),0),AN101)</f>
        <v>5249.8856858719064</v>
      </c>
      <c r="AP101" s="214"/>
      <c r="AQ101" s="11">
        <f t="shared" si="2"/>
        <v>100587.73282125205</v>
      </c>
    </row>
    <row r="102" spans="1:43" s="1" customFormat="1">
      <c r="A102" s="220" t="str">
        <f>Components!B102</f>
        <v>Restaurant</v>
      </c>
      <c r="B102" s="220" t="str">
        <f>Components!C102</f>
        <v>Storage tank Rendezvous</v>
      </c>
      <c r="C102" s="211"/>
      <c r="D102" s="211"/>
      <c r="E102" s="211"/>
      <c r="F102" s="88"/>
      <c r="G102" s="212"/>
      <c r="H102" s="212"/>
      <c r="I102" s="212"/>
      <c r="J102" s="211"/>
      <c r="K102" s="11">
        <f>IF('FF Balance'!H102&gt;=0,PPMT(EarningsRate,1,Components!K102,0,-'FF Balance'!G102,0),0)</f>
        <v>1923.5603731119827</v>
      </c>
      <c r="L102" s="11">
        <f>IF(Components!M102&gt;0,PPMT(EarningsRate,1,Components!$K102,0,-Components!M102*((1+InflationRate)^Components!$K102),0),K102)</f>
        <v>1923.5603731119827</v>
      </c>
      <c r="M102" s="11">
        <f>IF(Components!N102&gt;0,PPMT(EarningsRate,1,Components!$K102,0,-Components!N102*((1+InflationRate)^Components!$K102),0),L102)</f>
        <v>1923.5603731119827</v>
      </c>
      <c r="N102" s="11">
        <f>IF(Components!O102&gt;0,PPMT(EarningsRate,1,Components!$K102,0,-Components!O102*((1+InflationRate)^Components!$K102),0),M102)</f>
        <v>2713.371878291664</v>
      </c>
      <c r="O102" s="11">
        <f>IF(Components!P102&gt;0,PPMT(EarningsRate,1,Components!$K102,0,-Components!P102*((1+InflationRate)^Components!$K102),0),N102)</f>
        <v>2713.371878291664</v>
      </c>
      <c r="P102" s="11">
        <f>IF(Components!Q102&gt;0,PPMT(EarningsRate,1,Components!$K102,0,-Components!Q102*((1+InflationRate)^Components!$K102),0),O102)</f>
        <v>2713.371878291664</v>
      </c>
      <c r="Q102" s="11">
        <f>IF(Components!R102&gt;0,PPMT(EarningsRate,1,Components!$K102,0,-Components!R102*((1+InflationRate)^Components!$K102),0),P102)</f>
        <v>2713.371878291664</v>
      </c>
      <c r="R102" s="11">
        <f>IF(Components!S102&gt;0,PPMT(EarningsRate,1,Components!$K102,0,-Components!S102*((1+InflationRate)^Components!$K102),0),Q102)</f>
        <v>2713.371878291664</v>
      </c>
      <c r="S102" s="11">
        <f>IF(Components!T102&gt;0,PPMT(EarningsRate,1,Components!$K102,0,-Components!T102*((1+InflationRate)^Components!$K102),0),R102)</f>
        <v>2713.371878291664</v>
      </c>
      <c r="T102" s="11">
        <f>IF(Components!U102&gt;0,PPMT(EarningsRate,1,Components!$K102,0,-Components!U102*((1+InflationRate)^Components!$K102),0),S102)</f>
        <v>2713.371878291664</v>
      </c>
      <c r="U102" s="11">
        <f>IF(Components!V102&gt;0,PPMT(EarningsRate,1,Components!$K102,0,-Components!V102*((1+InflationRate)^Components!$K102),0),T102)</f>
        <v>2713.371878291664</v>
      </c>
      <c r="V102" s="11">
        <f>IF(Components!W102&gt;0,PPMT(EarningsRate,1,Components!$K102,0,-Components!W102*((1+InflationRate)^Components!$K102),0),U102)</f>
        <v>2713.371878291664</v>
      </c>
      <c r="W102" s="11">
        <f>IF(Components!X102&gt;0,PPMT(EarningsRate,1,Components!$K102,0,-Components!X102*((1+InflationRate)^Components!$K102),0),V102)</f>
        <v>2713.371878291664</v>
      </c>
      <c r="X102" s="11">
        <f>IF(Components!Y102&gt;0,PPMT(EarningsRate,1,Components!$K102,0,-Components!Y102*((1+InflationRate)^Components!$K102),0),W102)</f>
        <v>3827.4970675065592</v>
      </c>
      <c r="Y102" s="11">
        <f>IF(Components!Z102&gt;0,PPMT(EarningsRate,1,Components!$K102,0,-Components!Z102*((1+InflationRate)^Components!$K102),0),X102)</f>
        <v>3827.4970675065592</v>
      </c>
      <c r="Z102" s="11">
        <f>IF(Components!AA102&gt;0,PPMT(EarningsRate,1,Components!$K102,0,-Components!AA102*((1+InflationRate)^Components!$K102),0),Y102)</f>
        <v>3827.4970675065592</v>
      </c>
      <c r="AA102" s="11">
        <f>IF(Components!AB102&gt;0,PPMT(EarningsRate,1,Components!$K102,0,-Components!AB102*((1+InflationRate)^Components!$K102),0),Z102)</f>
        <v>3827.4970675065592</v>
      </c>
      <c r="AB102" s="11">
        <f>IF(Components!AC102&gt;0,PPMT(EarningsRate,1,Components!$K102,0,-Components!AC102*((1+InflationRate)^Components!$K102),0),AA102)</f>
        <v>3827.4970675065592</v>
      </c>
      <c r="AC102" s="11">
        <f>IF(Components!AD102&gt;0,PPMT(EarningsRate,1,Components!$K102,0,-Components!AD102*((1+InflationRate)^Components!$K102),0),AB102)</f>
        <v>3827.4970675065592</v>
      </c>
      <c r="AD102" s="11">
        <f>IF(Components!AE102&gt;0,PPMT(EarningsRate,1,Components!$K102,0,-Components!AE102*((1+InflationRate)^Components!$K102),0),AC102)</f>
        <v>3827.4970675065592</v>
      </c>
      <c r="AE102" s="11">
        <f>IF(Components!AF102&gt;0,PPMT(EarningsRate,1,Components!$K102,0,-Components!AF102*((1+InflationRate)^Components!$K102),0),AD102)</f>
        <v>3827.4970675065592</v>
      </c>
      <c r="AF102" s="11">
        <f>IF(Components!AG102&gt;0,PPMT(EarningsRate,1,Components!$K102,0,-Components!AG102*((1+InflationRate)^Components!$K102),0),AE102)</f>
        <v>3827.4970675065592</v>
      </c>
      <c r="AG102" s="11">
        <f>IF(Components!AH102&gt;0,PPMT(EarningsRate,1,Components!$K102,0,-Components!AH102*((1+InflationRate)^Components!$K102),0),AF102)</f>
        <v>3827.4970675065592</v>
      </c>
      <c r="AH102" s="11">
        <f>IF(Components!AI102&gt;0,PPMT(EarningsRate,1,Components!$K102,0,-Components!AI102*((1+InflationRate)^Components!$K102),0),AG102)</f>
        <v>5399.0445115475977</v>
      </c>
      <c r="AI102" s="11">
        <f>IF(Components!AJ102&gt;0,PPMT(EarningsRate,1,Components!$K102,0,-Components!AJ102*((1+InflationRate)^Components!$K102),0),AH102)</f>
        <v>5399.0445115475977</v>
      </c>
      <c r="AJ102" s="11">
        <f>IF(Components!AK102&gt;0,PPMT(EarningsRate,1,Components!$K102,0,-Components!AK102*((1+InflationRate)^Components!$K102),0),AI102)</f>
        <v>5399.0445115475977</v>
      </c>
      <c r="AK102" s="11">
        <f>IF(Components!AL102&gt;0,PPMT(EarningsRate,1,Components!$K102,0,-Components!AL102*((1+InflationRate)^Components!$K102),0),AJ102)</f>
        <v>5399.0445115475977</v>
      </c>
      <c r="AL102" s="11">
        <f>IF(Components!AM102&gt;0,PPMT(EarningsRate,1,Components!$K102,0,-Components!AM102*((1+InflationRate)^Components!$K102),0),AK102)</f>
        <v>5399.0445115475977</v>
      </c>
      <c r="AM102" s="11">
        <f>IF(Components!AN102&gt;0,PPMT(EarningsRate,1,Components!$K102,0,-Components!AN102*((1+InflationRate)^Components!$K102),0),AL102)</f>
        <v>5399.0445115475977</v>
      </c>
      <c r="AN102" s="11">
        <f>IF(Components!AO102&gt;0,PPMT(EarningsRate,1,Components!$K102,0,-Components!AO102*((1+InflationRate)^Components!$K102),0),AM102)</f>
        <v>5399.0445115475977</v>
      </c>
      <c r="AO102" s="11">
        <f>IF(Components!AP102&gt;0,PPMT(EarningsRate,1,Components!$K102,0,-Components!AP102*((1+InflationRate)^Components!$K102),0),AN102)</f>
        <v>5399.0445115475977</v>
      </c>
      <c r="AP102" s="214"/>
      <c r="AQ102" s="11">
        <f t="shared" si="2"/>
        <v>114371.72676969897</v>
      </c>
    </row>
    <row r="103" spans="1:43" s="1" customFormat="1">
      <c r="A103" s="220" t="str">
        <f>Components!B103</f>
        <v>Restaurant</v>
      </c>
      <c r="B103" s="220" t="str">
        <f>Components!C103</f>
        <v>Convection Oven</v>
      </c>
      <c r="C103" s="211"/>
      <c r="D103" s="211"/>
      <c r="E103" s="211"/>
      <c r="F103" s="88"/>
      <c r="G103" s="212"/>
      <c r="H103" s="212"/>
      <c r="I103" s="212"/>
      <c r="J103" s="211"/>
      <c r="K103" s="11">
        <f>IF('FF Balance'!H103&gt;=0,PPMT(EarningsRate,1,Components!K103,0,-'FF Balance'!G103,0),0)</f>
        <v>1915.1057620859692</v>
      </c>
      <c r="L103" s="11">
        <f>IF(Components!M103&gt;0,PPMT(EarningsRate,1,Components!$K103,0,-Components!M103*((1+InflationRate)^Components!$K103),0),K103)</f>
        <v>1915.1057620859692</v>
      </c>
      <c r="M103" s="11">
        <f>IF(Components!N103&gt;0,PPMT(EarningsRate,1,Components!$K103,0,-Components!N103*((1+InflationRate)^Components!$K103),0),L103)</f>
        <v>1915.1057620859692</v>
      </c>
      <c r="N103" s="11">
        <f>IF(Components!O103&gt;0,PPMT(EarningsRate,1,Components!$K103,0,-Components!O103*((1+InflationRate)^Components!$K103),0),M103)</f>
        <v>2701.4458144568357</v>
      </c>
      <c r="O103" s="11">
        <f>IF(Components!P103&gt;0,PPMT(EarningsRate,1,Components!$K103,0,-Components!P103*((1+InflationRate)^Components!$K103),0),N103)</f>
        <v>2701.4458144568357</v>
      </c>
      <c r="P103" s="11">
        <f>IF(Components!Q103&gt;0,PPMT(EarningsRate,1,Components!$K103,0,-Components!Q103*((1+InflationRate)^Components!$K103),0),O103)</f>
        <v>2701.4458144568357</v>
      </c>
      <c r="Q103" s="11">
        <f>IF(Components!R103&gt;0,PPMT(EarningsRate,1,Components!$K103,0,-Components!R103*((1+InflationRate)^Components!$K103),0),P103)</f>
        <v>2701.4458144568357</v>
      </c>
      <c r="R103" s="11">
        <f>IF(Components!S103&gt;0,PPMT(EarningsRate,1,Components!$K103,0,-Components!S103*((1+InflationRate)^Components!$K103),0),Q103)</f>
        <v>2701.4458144568357</v>
      </c>
      <c r="S103" s="11">
        <f>IF(Components!T103&gt;0,PPMT(EarningsRate,1,Components!$K103,0,-Components!T103*((1+InflationRate)^Components!$K103),0),R103)</f>
        <v>2701.4458144568357</v>
      </c>
      <c r="T103" s="11">
        <f>IF(Components!U103&gt;0,PPMT(EarningsRate,1,Components!$K103,0,-Components!U103*((1+InflationRate)^Components!$K103),0),S103)</f>
        <v>2701.4458144568357</v>
      </c>
      <c r="U103" s="11">
        <f>IF(Components!V103&gt;0,PPMT(EarningsRate,1,Components!$K103,0,-Components!V103*((1+InflationRate)^Components!$K103),0),T103)</f>
        <v>2701.4458144568357</v>
      </c>
      <c r="V103" s="11">
        <f>IF(Components!W103&gt;0,PPMT(EarningsRate,1,Components!$K103,0,-Components!W103*((1+InflationRate)^Components!$K103),0),U103)</f>
        <v>2701.4458144568357</v>
      </c>
      <c r="W103" s="11">
        <f>IF(Components!X103&gt;0,PPMT(EarningsRate,1,Components!$K103,0,-Components!X103*((1+InflationRate)^Components!$K103),0),V103)</f>
        <v>2701.4458144568357</v>
      </c>
      <c r="X103" s="11">
        <f>IF(Components!Y103&gt;0,PPMT(EarningsRate,1,Components!$K103,0,-Components!Y103*((1+InflationRate)^Components!$K103),0),W103)</f>
        <v>3810.5697510958353</v>
      </c>
      <c r="Y103" s="11">
        <f>IF(Components!Z103&gt;0,PPMT(EarningsRate,1,Components!$K103,0,-Components!Z103*((1+InflationRate)^Components!$K103),0),X103)</f>
        <v>3810.5697510958353</v>
      </c>
      <c r="Z103" s="11">
        <f>IF(Components!AA103&gt;0,PPMT(EarningsRate,1,Components!$K103,0,-Components!AA103*((1+InflationRate)^Components!$K103),0),Y103)</f>
        <v>3810.5697510958353</v>
      </c>
      <c r="AA103" s="11">
        <f>IF(Components!AB103&gt;0,PPMT(EarningsRate,1,Components!$K103,0,-Components!AB103*((1+InflationRate)^Components!$K103),0),Z103)</f>
        <v>3810.5697510958353</v>
      </c>
      <c r="AB103" s="11">
        <f>IF(Components!AC103&gt;0,PPMT(EarningsRate,1,Components!$K103,0,-Components!AC103*((1+InflationRate)^Components!$K103),0),AA103)</f>
        <v>3810.5697510958353</v>
      </c>
      <c r="AC103" s="11">
        <f>IF(Components!AD103&gt;0,PPMT(EarningsRate,1,Components!$K103,0,-Components!AD103*((1+InflationRate)^Components!$K103),0),AB103)</f>
        <v>3810.5697510958353</v>
      </c>
      <c r="AD103" s="11">
        <f>IF(Components!AE103&gt;0,PPMT(EarningsRate,1,Components!$K103,0,-Components!AE103*((1+InflationRate)^Components!$K103),0),AC103)</f>
        <v>3810.5697510958353</v>
      </c>
      <c r="AE103" s="11">
        <f>IF(Components!AF103&gt;0,PPMT(EarningsRate,1,Components!$K103,0,-Components!AF103*((1+InflationRate)^Components!$K103),0),AD103)</f>
        <v>3810.5697510958353</v>
      </c>
      <c r="AF103" s="11">
        <f>IF(Components!AG103&gt;0,PPMT(EarningsRate,1,Components!$K103,0,-Components!AG103*((1+InflationRate)^Components!$K103),0),AE103)</f>
        <v>3810.5697510958353</v>
      </c>
      <c r="AG103" s="11">
        <f>IF(Components!AH103&gt;0,PPMT(EarningsRate,1,Components!$K103,0,-Components!AH103*((1+InflationRate)^Components!$K103),0),AF103)</f>
        <v>3810.5697510958353</v>
      </c>
      <c r="AH103" s="11">
        <f>IF(Components!AI103&gt;0,PPMT(EarningsRate,1,Components!$K103,0,-Components!AI103*((1+InflationRate)^Components!$K103),0),AG103)</f>
        <v>5375.192383877943</v>
      </c>
      <c r="AI103" s="11">
        <f>IF(Components!AJ103&gt;0,PPMT(EarningsRate,1,Components!$K103,0,-Components!AJ103*((1+InflationRate)^Components!$K103),0),AH103)</f>
        <v>5375.192383877943</v>
      </c>
      <c r="AJ103" s="11">
        <f>IF(Components!AK103&gt;0,PPMT(EarningsRate,1,Components!$K103,0,-Components!AK103*((1+InflationRate)^Components!$K103),0),AI103)</f>
        <v>5375.192383877943</v>
      </c>
      <c r="AK103" s="11">
        <f>IF(Components!AL103&gt;0,PPMT(EarningsRate,1,Components!$K103,0,-Components!AL103*((1+InflationRate)^Components!$K103),0),AJ103)</f>
        <v>5375.192383877943</v>
      </c>
      <c r="AL103" s="11">
        <f>IF(Components!AM103&gt;0,PPMT(EarningsRate,1,Components!$K103,0,-Components!AM103*((1+InflationRate)^Components!$K103),0),AK103)</f>
        <v>5375.192383877943</v>
      </c>
      <c r="AM103" s="11">
        <f>IF(Components!AN103&gt;0,PPMT(EarningsRate,1,Components!$K103,0,-Components!AN103*((1+InflationRate)^Components!$K103),0),AL103)</f>
        <v>5375.192383877943</v>
      </c>
      <c r="AN103" s="11">
        <f>IF(Components!AO103&gt;0,PPMT(EarningsRate,1,Components!$K103,0,-Components!AO103*((1+InflationRate)^Components!$K103),0),AM103)</f>
        <v>5375.192383877943</v>
      </c>
      <c r="AO103" s="11">
        <f>IF(Components!AP103&gt;0,PPMT(EarningsRate,1,Components!$K103,0,-Components!AP103*((1+InflationRate)^Components!$K103),0),AN103)</f>
        <v>5375.192383877943</v>
      </c>
      <c r="AP103" s="214"/>
      <c r="AQ103" s="11">
        <f t="shared" si="2"/>
        <v>113867.0121128082</v>
      </c>
    </row>
    <row r="104" spans="1:43" s="1" customFormat="1">
      <c r="A104" s="220" t="str">
        <f>Components!B104</f>
        <v>Golf Course</v>
      </c>
      <c r="B104" s="220" t="str">
        <f>Components!C104</f>
        <v>Aerator, shatter 4"</v>
      </c>
      <c r="C104" s="211"/>
      <c r="D104" s="211"/>
      <c r="E104" s="211"/>
      <c r="F104" s="88"/>
      <c r="G104" s="212"/>
      <c r="H104" s="212"/>
      <c r="I104" s="212"/>
      <c r="J104" s="211"/>
      <c r="K104" s="11">
        <f>IF('FF Balance'!H104&gt;=0,PPMT(EarningsRate,1,Components!K104,0,-'FF Balance'!G104,0),0)</f>
        <v>163.94550158492345</v>
      </c>
      <c r="L104" s="11">
        <f>IF(Components!M104&gt;0,PPMT(EarningsRate,1,Components!$K104,0,-Components!M104*((1+InflationRate)^Components!$K104),0),K104)</f>
        <v>163.94550158492345</v>
      </c>
      <c r="M104" s="11">
        <f>IF(Components!N104&gt;0,PPMT(EarningsRate,1,Components!$K104,0,-Components!N104*((1+InflationRate)^Components!$K104),0),L104)</f>
        <v>163.94550158492345</v>
      </c>
      <c r="N104" s="11">
        <f>IF(Components!O104&gt;0,PPMT(EarningsRate,1,Components!$K104,0,-Components!O104*((1+InflationRate)^Components!$K104),0),M104)</f>
        <v>163.94550158492345</v>
      </c>
      <c r="O104" s="11">
        <f>IF(Components!P104&gt;0,PPMT(EarningsRate,1,Components!$K104,0,-Components!P104*((1+InflationRate)^Components!$K104),0),N104)</f>
        <v>163.94550158492345</v>
      </c>
      <c r="P104" s="11">
        <f>IF(Components!Q104&gt;0,PPMT(EarningsRate,1,Components!$K104,0,-Components!Q104*((1+InflationRate)^Components!$K104),0),O104)</f>
        <v>163.94550158492345</v>
      </c>
      <c r="Q104" s="11">
        <f>IF(Components!R104&gt;0,PPMT(EarningsRate,1,Components!$K104,0,-Components!R104*((1+InflationRate)^Components!$K104),0),P104)</f>
        <v>163.94550158492345</v>
      </c>
      <c r="R104" s="11">
        <f>IF(Components!S104&gt;0,PPMT(EarningsRate,1,Components!$K104,0,-Components!S104*((1+InflationRate)^Components!$K104),0),Q104)</f>
        <v>163.94550158492345</v>
      </c>
      <c r="S104" s="11">
        <f>IF(Components!T104&gt;0,PPMT(EarningsRate,1,Components!$K104,0,-Components!T104*((1+InflationRate)^Components!$K104),0),R104)</f>
        <v>510.18894977598399</v>
      </c>
      <c r="T104" s="11">
        <f>IF(Components!U104&gt;0,PPMT(EarningsRate,1,Components!$K104,0,-Components!U104*((1+InflationRate)^Components!$K104),0),S104)</f>
        <v>510.18894977598399</v>
      </c>
      <c r="U104" s="11">
        <f>IF(Components!V104&gt;0,PPMT(EarningsRate,1,Components!$K104,0,-Components!V104*((1+InflationRate)^Components!$K104),0),T104)</f>
        <v>510.18894977598399</v>
      </c>
      <c r="V104" s="11">
        <f>IF(Components!W104&gt;0,PPMT(EarningsRate,1,Components!$K104,0,-Components!W104*((1+InflationRate)^Components!$K104),0),U104)</f>
        <v>510.18894977598399</v>
      </c>
      <c r="W104" s="11">
        <f>IF(Components!X104&gt;0,PPMT(EarningsRate,1,Components!$K104,0,-Components!X104*((1+InflationRate)^Components!$K104),0),V104)</f>
        <v>510.18894977598399</v>
      </c>
      <c r="X104" s="11">
        <f>IF(Components!Y104&gt;0,PPMT(EarningsRate,1,Components!$K104,0,-Components!Y104*((1+InflationRate)^Components!$K104),0),W104)</f>
        <v>510.18894977598399</v>
      </c>
      <c r="Y104" s="11">
        <f>IF(Components!Z104&gt;0,PPMT(EarningsRate,1,Components!$K104,0,-Components!Z104*((1+InflationRate)^Components!$K104),0),X104)</f>
        <v>510.18894977598399</v>
      </c>
      <c r="Z104" s="11">
        <f>IF(Components!AA104&gt;0,PPMT(EarningsRate,1,Components!$K104,0,-Components!AA104*((1+InflationRate)^Components!$K104),0),Y104)</f>
        <v>510.18894977598399</v>
      </c>
      <c r="AA104" s="11">
        <f>IF(Components!AB104&gt;0,PPMT(EarningsRate,1,Components!$K104,0,-Components!AB104*((1+InflationRate)^Components!$K104),0),Z104)</f>
        <v>510.18894977598399</v>
      </c>
      <c r="AB104" s="11">
        <f>IF(Components!AC104&gt;0,PPMT(EarningsRate,1,Components!$K104,0,-Components!AC104*((1+InflationRate)^Components!$K104),0),AA104)</f>
        <v>510.18894977598399</v>
      </c>
      <c r="AC104" s="11">
        <f>IF(Components!AD104&gt;0,PPMT(EarningsRate,1,Components!$K104,0,-Components!AD104*((1+InflationRate)^Components!$K104),0),AB104)</f>
        <v>510.18894977598399</v>
      </c>
      <c r="AD104" s="11">
        <f>IF(Components!AE104&gt;0,PPMT(EarningsRate,1,Components!$K104,0,-Components!AE104*((1+InflationRate)^Components!$K104),0),AC104)</f>
        <v>510.18894977598399</v>
      </c>
      <c r="AE104" s="11">
        <f>IF(Components!AF104&gt;0,PPMT(EarningsRate,1,Components!$K104,0,-Components!AF104*((1+InflationRate)^Components!$K104),0),AD104)</f>
        <v>510.18894977598399</v>
      </c>
      <c r="AF104" s="11">
        <f>IF(Components!AG104&gt;0,PPMT(EarningsRate,1,Components!$K104,0,-Components!AG104*((1+InflationRate)^Components!$K104),0),AE104)</f>
        <v>510.18894977598399</v>
      </c>
      <c r="AG104" s="11">
        <f>IF(Components!AH104&gt;0,PPMT(EarningsRate,1,Components!$K104,0,-Components!AH104*((1+InflationRate)^Components!$K104),0),AF104)</f>
        <v>510.18894977598399</v>
      </c>
      <c r="AH104" s="11">
        <f>IF(Components!AI104&gt;0,PPMT(EarningsRate,1,Components!$K104,0,-Components!AI104*((1+InflationRate)^Components!$K104),0),AG104)</f>
        <v>510.18894977598399</v>
      </c>
      <c r="AI104" s="11">
        <f>IF(Components!AJ104&gt;0,PPMT(EarningsRate,1,Components!$K104,0,-Components!AJ104*((1+InflationRate)^Components!$K104),0),AH104)</f>
        <v>510.18894977598399</v>
      </c>
      <c r="AJ104" s="11">
        <f>IF(Components!AK104&gt;0,PPMT(EarningsRate,1,Components!$K104,0,-Components!AK104*((1+InflationRate)^Components!$K104),0),AI104)</f>
        <v>510.18894977598399</v>
      </c>
      <c r="AK104" s="11">
        <f>IF(Components!AL104&gt;0,PPMT(EarningsRate,1,Components!$K104,0,-Components!AL104*((1+InflationRate)^Components!$K104),0),AJ104)</f>
        <v>510.18894977598399</v>
      </c>
      <c r="AL104" s="11">
        <f>IF(Components!AM104&gt;0,PPMT(EarningsRate,1,Components!$K104,0,-Components!AM104*((1+InflationRate)^Components!$K104),0),AK104)</f>
        <v>510.18894977598399</v>
      </c>
      <c r="AM104" s="11">
        <f>IF(Components!AN104&gt;0,PPMT(EarningsRate,1,Components!$K104,0,-Components!AN104*((1+InflationRate)^Components!$K104),0),AL104)</f>
        <v>510.18894977598399</v>
      </c>
      <c r="AN104" s="11">
        <f>IF(Components!AO104&gt;0,PPMT(EarningsRate,1,Components!$K104,0,-Components!AO104*((1+InflationRate)^Components!$K104),0),AM104)</f>
        <v>510.18894977598399</v>
      </c>
      <c r="AO104" s="11">
        <f>IF(Components!AP104&gt;0,PPMT(EarningsRate,1,Components!$K104,0,-Components!AP104*((1+InflationRate)^Components!$K104),0),AN104)</f>
        <v>510.18894977598399</v>
      </c>
      <c r="AP104" s="214"/>
      <c r="AQ104" s="11">
        <f t="shared" si="2"/>
        <v>13045.909957527017</v>
      </c>
    </row>
    <row r="105" spans="1:43" s="1" customFormat="1">
      <c r="A105" s="220" t="str">
        <f>Components!B105</f>
        <v>Golf Course</v>
      </c>
      <c r="B105" s="220" t="str">
        <f>Components!C105</f>
        <v xml:space="preserve">Cart Path--Asphalt R&amp;R Map A-1 </v>
      </c>
      <c r="C105" s="211"/>
      <c r="D105" s="211"/>
      <c r="E105" s="211"/>
      <c r="F105" s="88"/>
      <c r="G105" s="212"/>
      <c r="H105" s="212"/>
      <c r="I105" s="212"/>
      <c r="J105" s="211"/>
      <c r="K105" s="11">
        <f>IF('FF Balance'!H105&gt;=0,PPMT(EarningsRate,1,Components!K105,0,-'FF Balance'!G105,0),0)</f>
        <v>4341.6842945953067</v>
      </c>
      <c r="L105" s="11">
        <f>IF(Components!M105&gt;0,PPMT(EarningsRate,1,Components!$K105,0,-Components!M105*((1+InflationRate)^Components!$K105),0),K105)</f>
        <v>4341.6842945953067</v>
      </c>
      <c r="M105" s="11">
        <f>IF(Components!N105&gt;0,PPMT(EarningsRate,1,Components!$K105,0,-Components!N105*((1+InflationRate)^Components!$K105),0),L105)</f>
        <v>4341.6842945953067</v>
      </c>
      <c r="N105" s="11">
        <f>IF(Components!O105&gt;0,PPMT(EarningsRate,1,Components!$K105,0,-Components!O105*((1+InflationRate)^Components!$K105),0),M105)</f>
        <v>4341.6842945953067</v>
      </c>
      <c r="O105" s="11">
        <f>IF(Components!P105&gt;0,PPMT(EarningsRate,1,Components!$K105,0,-Components!P105*((1+InflationRate)^Components!$K105),0),N105)</f>
        <v>4341.6842945953067</v>
      </c>
      <c r="P105" s="11">
        <f>IF(Components!Q105&gt;0,PPMT(EarningsRate,1,Components!$K105,0,-Components!Q105*((1+InflationRate)^Components!$K105),0),O105)</f>
        <v>4341.6842945953067</v>
      </c>
      <c r="Q105" s="11">
        <f>IF(Components!R105&gt;0,PPMT(EarningsRate,1,Components!$K105,0,-Components!R105*((1+InflationRate)^Components!$K105),0),P105)</f>
        <v>4341.6842945953067</v>
      </c>
      <c r="R105" s="11">
        <f>IF(Components!S105&gt;0,PPMT(EarningsRate,1,Components!$K105,0,-Components!S105*((1+InflationRate)^Components!$K105),0),Q105)</f>
        <v>4341.6842945953067</v>
      </c>
      <c r="S105" s="11">
        <f>IF(Components!T105&gt;0,PPMT(EarningsRate,1,Components!$K105,0,-Components!T105*((1+InflationRate)^Components!$K105),0),R105)</f>
        <v>4341.6842945953067</v>
      </c>
      <c r="T105" s="11">
        <f>IF(Components!U105&gt;0,PPMT(EarningsRate,1,Components!$K105,0,-Components!U105*((1+InflationRate)^Components!$K105),0),S105)</f>
        <v>4341.6842945953067</v>
      </c>
      <c r="U105" s="11">
        <f>IF(Components!V105&gt;0,PPMT(EarningsRate,1,Components!$K105,0,-Components!V105*((1+InflationRate)^Components!$K105),0),T105)</f>
        <v>4341.6842945953067</v>
      </c>
      <c r="V105" s="11">
        <f>IF(Components!W105&gt;0,PPMT(EarningsRate,1,Components!$K105,0,-Components!W105*((1+InflationRate)^Components!$K105),0),U105)</f>
        <v>4341.6842945953067</v>
      </c>
      <c r="W105" s="11">
        <f>IF(Components!X105&gt;0,PPMT(EarningsRate,1,Components!$K105,0,-Components!X105*((1+InflationRate)^Components!$K105),0),V105)</f>
        <v>4341.6842945953067</v>
      </c>
      <c r="X105" s="11">
        <f>IF(Components!Y105&gt;0,PPMT(EarningsRate,1,Components!$K105,0,-Components!Y105*((1+InflationRate)^Components!$K105),0),W105)</f>
        <v>4341.6842945953067</v>
      </c>
      <c r="Y105" s="11">
        <f>IF(Components!Z105&gt;0,PPMT(EarningsRate,1,Components!$K105,0,-Components!Z105*((1+InflationRate)^Components!$K105),0),X105)</f>
        <v>4341.6842945953067</v>
      </c>
      <c r="Z105" s="11">
        <f>IF(Components!AA105&gt;0,PPMT(EarningsRate,1,Components!$K105,0,-Components!AA105*((1+InflationRate)^Components!$K105),0),Y105)</f>
        <v>4341.6842945953067</v>
      </c>
      <c r="AA105" s="11">
        <f>IF(Components!AB105&gt;0,PPMT(EarningsRate,1,Components!$K105,0,-Components!AB105*((1+InflationRate)^Components!$K105),0),Z105)</f>
        <v>4341.6842945953067</v>
      </c>
      <c r="AB105" s="11">
        <f>IF(Components!AC105&gt;0,PPMT(EarningsRate,1,Components!$K105,0,-Components!AC105*((1+InflationRate)^Components!$K105),0),AA105)</f>
        <v>4341.6842945953067</v>
      </c>
      <c r="AC105" s="11">
        <f>IF(Components!AD105&gt;0,PPMT(EarningsRate,1,Components!$K105,0,-Components!AD105*((1+InflationRate)^Components!$K105),0),AB105)</f>
        <v>4341.6842945953067</v>
      </c>
      <c r="AD105" s="11">
        <f>IF(Components!AE105&gt;0,PPMT(EarningsRate,1,Components!$K105,0,-Components!AE105*((1+InflationRate)^Components!$K105),0),AC105)</f>
        <v>4341.6842945953067</v>
      </c>
      <c r="AE105" s="11">
        <f>IF(Components!AF105&gt;0,PPMT(EarningsRate,1,Components!$K105,0,-Components!AF105*((1+InflationRate)^Components!$K105),0),AD105)</f>
        <v>4341.6842945953067</v>
      </c>
      <c r="AF105" s="11">
        <f>IF(Components!AG105&gt;0,PPMT(EarningsRate,1,Components!$K105,0,-Components!AG105*((1+InflationRate)^Components!$K105),0),AE105)</f>
        <v>4341.6842945953067</v>
      </c>
      <c r="AG105" s="11">
        <f>IF(Components!AH105&gt;0,PPMT(EarningsRate,1,Components!$K105,0,-Components!AH105*((1+InflationRate)^Components!$K105),0),AF105)</f>
        <v>12186.212145876376</v>
      </c>
      <c r="AH105" s="11">
        <f>IF(Components!AI105&gt;0,PPMT(EarningsRate,1,Components!$K105,0,-Components!AI105*((1+InflationRate)^Components!$K105),0),AG105)</f>
        <v>12186.212145876376</v>
      </c>
      <c r="AI105" s="11">
        <f>IF(Components!AJ105&gt;0,PPMT(EarningsRate,1,Components!$K105,0,-Components!AJ105*((1+InflationRate)^Components!$K105),0),AH105)</f>
        <v>12186.212145876376</v>
      </c>
      <c r="AJ105" s="11">
        <f>IF(Components!AK105&gt;0,PPMT(EarningsRate,1,Components!$K105,0,-Components!AK105*((1+InflationRate)^Components!$K105),0),AI105)</f>
        <v>12186.212145876376</v>
      </c>
      <c r="AK105" s="11">
        <f>IF(Components!AL105&gt;0,PPMT(EarningsRate,1,Components!$K105,0,-Components!AL105*((1+InflationRate)^Components!$K105),0),AJ105)</f>
        <v>12186.212145876376</v>
      </c>
      <c r="AL105" s="11">
        <f>IF(Components!AM105&gt;0,PPMT(EarningsRate,1,Components!$K105,0,-Components!AM105*((1+InflationRate)^Components!$K105),0),AK105)</f>
        <v>12186.212145876376</v>
      </c>
      <c r="AM105" s="11">
        <f>IF(Components!AN105&gt;0,PPMT(EarningsRate,1,Components!$K105,0,-Components!AN105*((1+InflationRate)^Components!$K105),0),AL105)</f>
        <v>12186.212145876376</v>
      </c>
      <c r="AN105" s="11">
        <f>IF(Components!AO105&gt;0,PPMT(EarningsRate,1,Components!$K105,0,-Components!AO105*((1+InflationRate)^Components!$K105),0),AM105)</f>
        <v>12186.212145876376</v>
      </c>
      <c r="AO105" s="11">
        <f>IF(Components!AP105&gt;0,PPMT(EarningsRate,1,Components!$K105,0,-Components!AP105*((1+InflationRate)^Components!$K105),0),AN105)</f>
        <v>12186.212145876376</v>
      </c>
      <c r="AP105" s="214"/>
      <c r="AQ105" s="11">
        <f t="shared" si="2"/>
        <v>205192.96389398415</v>
      </c>
    </row>
    <row r="106" spans="1:43" s="1" customFormat="1">
      <c r="A106" s="220" t="str">
        <f>Components!B106</f>
        <v>Golf Course</v>
      </c>
      <c r="B106" s="220" t="str">
        <f>Components!C106</f>
        <v xml:space="preserve">Cart Path--Asphalt R&amp;R Map A-2 </v>
      </c>
      <c r="C106" s="211"/>
      <c r="D106" s="211"/>
      <c r="E106" s="211"/>
      <c r="F106" s="88"/>
      <c r="G106" s="212"/>
      <c r="H106" s="212"/>
      <c r="I106" s="212"/>
      <c r="J106" s="211"/>
      <c r="K106" s="11">
        <f>IF('FF Balance'!H106&gt;=0,PPMT(EarningsRate,1,Components!K106,0,-'FF Balance'!G106,0),0)</f>
        <v>2389.6868748604488</v>
      </c>
      <c r="L106" s="11">
        <f>IF(Components!M106&gt;0,PPMT(EarningsRate,1,Components!$K106,0,-Components!M106*((1+InflationRate)^Components!$K106),0),K106)</f>
        <v>2389.6868748604488</v>
      </c>
      <c r="M106" s="11">
        <f>IF(Components!N106&gt;0,PPMT(EarningsRate,1,Components!$K106,0,-Components!N106*((1+InflationRate)^Components!$K106),0),L106)</f>
        <v>2389.6868748604488</v>
      </c>
      <c r="N106" s="11">
        <f>IF(Components!O106&gt;0,PPMT(EarningsRate,1,Components!$K106,0,-Components!O106*((1+InflationRate)^Components!$K106),0),M106)</f>
        <v>2389.6868748604488</v>
      </c>
      <c r="O106" s="11">
        <f>IF(Components!P106&gt;0,PPMT(EarningsRate,1,Components!$K106,0,-Components!P106*((1+InflationRate)^Components!$K106),0),N106)</f>
        <v>2389.6868748604488</v>
      </c>
      <c r="P106" s="11">
        <f>IF(Components!Q106&gt;0,PPMT(EarningsRate,1,Components!$K106,0,-Components!Q106*((1+InflationRate)^Components!$K106),0),O106)</f>
        <v>2389.6868748604488</v>
      </c>
      <c r="Q106" s="11">
        <f>IF(Components!R106&gt;0,PPMT(EarningsRate,1,Components!$K106,0,-Components!R106*((1+InflationRate)^Components!$K106),0),P106)</f>
        <v>2389.6868748604488</v>
      </c>
      <c r="R106" s="11">
        <f>IF(Components!S106&gt;0,PPMT(EarningsRate,1,Components!$K106,0,-Components!S106*((1+InflationRate)^Components!$K106),0),Q106)</f>
        <v>2389.6868748604488</v>
      </c>
      <c r="S106" s="11">
        <f>IF(Components!T106&gt;0,PPMT(EarningsRate,1,Components!$K106,0,-Components!T106*((1+InflationRate)^Components!$K106),0),R106)</f>
        <v>2389.6868748604488</v>
      </c>
      <c r="T106" s="11">
        <f>IF(Components!U106&gt;0,PPMT(EarningsRate,1,Components!$K106,0,-Components!U106*((1+InflationRate)^Components!$K106),0),S106)</f>
        <v>2389.6868748604488</v>
      </c>
      <c r="U106" s="11">
        <f>IF(Components!V106&gt;0,PPMT(EarningsRate,1,Components!$K106,0,-Components!V106*((1+InflationRate)^Components!$K106),0),T106)</f>
        <v>2389.6868748604488</v>
      </c>
      <c r="V106" s="11">
        <f>IF(Components!W106&gt;0,PPMT(EarningsRate,1,Components!$K106,0,-Components!W106*((1+InflationRate)^Components!$K106),0),U106)</f>
        <v>2389.6868748604488</v>
      </c>
      <c r="W106" s="11">
        <f>IF(Components!X106&gt;0,PPMT(EarningsRate,1,Components!$K106,0,-Components!X106*((1+InflationRate)^Components!$K106),0),V106)</f>
        <v>2389.6868748604488</v>
      </c>
      <c r="X106" s="11">
        <f>IF(Components!Y106&gt;0,PPMT(EarningsRate,1,Components!$K106,0,-Components!Y106*((1+InflationRate)^Components!$K106),0),W106)</f>
        <v>2389.6868748604488</v>
      </c>
      <c r="Y106" s="11">
        <f>IF(Components!Z106&gt;0,PPMT(EarningsRate,1,Components!$K106,0,-Components!Z106*((1+InflationRate)^Components!$K106),0),X106)</f>
        <v>2389.6868748604488</v>
      </c>
      <c r="Z106" s="11">
        <f>IF(Components!AA106&gt;0,PPMT(EarningsRate,1,Components!$K106,0,-Components!AA106*((1+InflationRate)^Components!$K106),0),Y106)</f>
        <v>2389.6868748604488</v>
      </c>
      <c r="AA106" s="11">
        <f>IF(Components!AB106&gt;0,PPMT(EarningsRate,1,Components!$K106,0,-Components!AB106*((1+InflationRate)^Components!$K106),0),Z106)</f>
        <v>2389.6868748604488</v>
      </c>
      <c r="AB106" s="11">
        <f>IF(Components!AC106&gt;0,PPMT(EarningsRate,1,Components!$K106,0,-Components!AC106*((1+InflationRate)^Components!$K106),0),AA106)</f>
        <v>2389.6868748604488</v>
      </c>
      <c r="AC106" s="11">
        <f>IF(Components!AD106&gt;0,PPMT(EarningsRate,1,Components!$K106,0,-Components!AD106*((1+InflationRate)^Components!$K106),0),AB106)</f>
        <v>2389.6868748604488</v>
      </c>
      <c r="AD106" s="11">
        <f>IF(Components!AE106&gt;0,PPMT(EarningsRate,1,Components!$K106,0,-Components!AE106*((1+InflationRate)^Components!$K106),0),AC106)</f>
        <v>2389.6868748604488</v>
      </c>
      <c r="AE106" s="11">
        <f>IF(Components!AF106&gt;0,PPMT(EarningsRate,1,Components!$K106,0,-Components!AF106*((1+InflationRate)^Components!$K106),0),AD106)</f>
        <v>2389.6868748604488</v>
      </c>
      <c r="AF106" s="11">
        <f>IF(Components!AG106&gt;0,PPMT(EarningsRate,1,Components!$K106,0,-Components!AG106*((1+InflationRate)^Components!$K106),0),AE106)</f>
        <v>2389.6868748604488</v>
      </c>
      <c r="AG106" s="11">
        <f>IF(Components!AH106&gt;0,PPMT(EarningsRate,1,Components!$K106,0,-Components!AH106*((1+InflationRate)^Components!$K106),0),AF106)</f>
        <v>2389.6868748604488</v>
      </c>
      <c r="AH106" s="11">
        <f>IF(Components!AI106&gt;0,PPMT(EarningsRate,1,Components!$K106,0,-Components!AI106*((1+InflationRate)^Components!$K106),0),AG106)</f>
        <v>2389.6868748604488</v>
      </c>
      <c r="AI106" s="11">
        <f>IF(Components!AJ106&gt;0,PPMT(EarningsRate,1,Components!$K106,0,-Components!AJ106*((1+InflationRate)^Components!$K106),0),AH106)</f>
        <v>2389.6868748604488</v>
      </c>
      <c r="AJ106" s="11">
        <f>IF(Components!AK106&gt;0,PPMT(EarningsRate,1,Components!$K106,0,-Components!AK106*((1+InflationRate)^Components!$K106),0),AI106)</f>
        <v>2389.6868748604488</v>
      </c>
      <c r="AK106" s="11">
        <f>IF(Components!AL106&gt;0,PPMT(EarningsRate,1,Components!$K106,0,-Components!AL106*((1+InflationRate)^Components!$K106),0),AJ106)</f>
        <v>2389.6868748604488</v>
      </c>
      <c r="AL106" s="11">
        <f>IF(Components!AM106&gt;0,PPMT(EarningsRate,1,Components!$K106,0,-Components!AM106*((1+InflationRate)^Components!$K106),0),AK106)</f>
        <v>6707.358076568803</v>
      </c>
      <c r="AM106" s="11">
        <f>IF(Components!AN106&gt;0,PPMT(EarningsRate,1,Components!$K106,0,-Components!AN106*((1+InflationRate)^Components!$K106),0),AL106)</f>
        <v>6707.358076568803</v>
      </c>
      <c r="AN106" s="11">
        <f>IF(Components!AO106&gt;0,PPMT(EarningsRate,1,Components!$K106,0,-Components!AO106*((1+InflationRate)^Components!$K106),0),AM106)</f>
        <v>6707.358076568803</v>
      </c>
      <c r="AO106" s="11">
        <f>IF(Components!AP106&gt;0,PPMT(EarningsRate,1,Components!$K106,0,-Components!AP106*((1+InflationRate)^Components!$K106),0),AN106)</f>
        <v>6707.358076568803</v>
      </c>
      <c r="AP106" s="214"/>
      <c r="AQ106" s="11">
        <f t="shared" si="2"/>
        <v>91350.978027507328</v>
      </c>
    </row>
    <row r="107" spans="1:43" s="1" customFormat="1">
      <c r="A107" s="220" t="str">
        <f>Components!B107</f>
        <v>Golf Course</v>
      </c>
      <c r="B107" s="220" t="str">
        <f>Components!C107</f>
        <v>Cart Path--Asphalt R&amp;R Map A-3</v>
      </c>
      <c r="C107" s="211"/>
      <c r="D107" s="211"/>
      <c r="E107" s="211"/>
      <c r="F107" s="88"/>
      <c r="G107" s="212"/>
      <c r="H107" s="212"/>
      <c r="I107" s="212"/>
      <c r="J107" s="211"/>
      <c r="K107" s="11">
        <f>IF('FF Balance'!H107&gt;=0,PPMT(EarningsRate,1,Components!K107,0,-'FF Balance'!G107,0),0)</f>
        <v>288.30672597145553</v>
      </c>
      <c r="L107" s="11">
        <f>IF(Components!M107&gt;0,PPMT(EarningsRate,1,Components!$K107,0,-Components!M107*((1+InflationRate)^Components!$K107),0),K107)</f>
        <v>288.30672597145553</v>
      </c>
      <c r="M107" s="11">
        <f>IF(Components!N107&gt;0,PPMT(EarningsRate,1,Components!$K107,0,-Components!N107*((1+InflationRate)^Components!$K107),0),L107)</f>
        <v>288.30672597145553</v>
      </c>
      <c r="N107" s="11">
        <f>IF(Components!O107&gt;0,PPMT(EarningsRate,1,Components!$K107,0,-Components!O107*((1+InflationRate)^Components!$K107),0),M107)</f>
        <v>288.30672597145553</v>
      </c>
      <c r="O107" s="11">
        <f>IF(Components!P107&gt;0,PPMT(EarningsRate,1,Components!$K107,0,-Components!P107*((1+InflationRate)^Components!$K107),0),N107)</f>
        <v>288.30672597145553</v>
      </c>
      <c r="P107" s="11">
        <f>IF(Components!Q107&gt;0,PPMT(EarningsRate,1,Components!$K107,0,-Components!Q107*((1+InflationRate)^Components!$K107),0),O107)</f>
        <v>288.30672597145553</v>
      </c>
      <c r="Q107" s="11">
        <f>IF(Components!R107&gt;0,PPMT(EarningsRate,1,Components!$K107,0,-Components!R107*((1+InflationRate)^Components!$K107),0),P107)</f>
        <v>288.30672597145553</v>
      </c>
      <c r="R107" s="11">
        <f>IF(Components!S107&gt;0,PPMT(EarningsRate,1,Components!$K107,0,-Components!S107*((1+InflationRate)^Components!$K107),0),Q107)</f>
        <v>288.30672597145553</v>
      </c>
      <c r="S107" s="11">
        <f>IF(Components!T107&gt;0,PPMT(EarningsRate,1,Components!$K107,0,-Components!T107*((1+InflationRate)^Components!$K107),0),R107)</f>
        <v>288.30672597145553</v>
      </c>
      <c r="T107" s="11">
        <f>IF(Components!U107&gt;0,PPMT(EarningsRate,1,Components!$K107,0,-Components!U107*((1+InflationRate)^Components!$K107),0),S107)</f>
        <v>288.30672597145553</v>
      </c>
      <c r="U107" s="11">
        <f>IF(Components!V107&gt;0,PPMT(EarningsRate,1,Components!$K107,0,-Components!V107*((1+InflationRate)^Components!$K107),0),T107)</f>
        <v>288.30672597145553</v>
      </c>
      <c r="V107" s="11">
        <f>IF(Components!W107&gt;0,PPMT(EarningsRate,1,Components!$K107,0,-Components!W107*((1+InflationRate)^Components!$K107),0),U107)</f>
        <v>288.30672597145553</v>
      </c>
      <c r="W107" s="11">
        <f>IF(Components!X107&gt;0,PPMT(EarningsRate,1,Components!$K107,0,-Components!X107*((1+InflationRate)^Components!$K107),0),V107)</f>
        <v>288.30672597145553</v>
      </c>
      <c r="X107" s="11">
        <f>IF(Components!Y107&gt;0,PPMT(EarningsRate,1,Components!$K107,0,-Components!Y107*((1+InflationRate)^Components!$K107),0),W107)</f>
        <v>288.30672597145553</v>
      </c>
      <c r="Y107" s="11">
        <f>IF(Components!Z107&gt;0,PPMT(EarningsRate,1,Components!$K107,0,-Components!Z107*((1+InflationRate)^Components!$K107),0),X107)</f>
        <v>288.30672597145553</v>
      </c>
      <c r="Z107" s="11">
        <f>IF(Components!AA107&gt;0,PPMT(EarningsRate,1,Components!$K107,0,-Components!AA107*((1+InflationRate)^Components!$K107),0),Y107)</f>
        <v>288.30672597145553</v>
      </c>
      <c r="AA107" s="11">
        <f>IF(Components!AB107&gt;0,PPMT(EarningsRate,1,Components!$K107,0,-Components!AB107*((1+InflationRate)^Components!$K107),0),Z107)</f>
        <v>288.30672597145553</v>
      </c>
      <c r="AB107" s="11">
        <f>IF(Components!AC107&gt;0,PPMT(EarningsRate,1,Components!$K107,0,-Components!AC107*((1+InflationRate)^Components!$K107),0),AA107)</f>
        <v>809.21750348010676</v>
      </c>
      <c r="AC107" s="11">
        <f>IF(Components!AD107&gt;0,PPMT(EarningsRate,1,Components!$K107,0,-Components!AD107*((1+InflationRate)^Components!$K107),0),AB107)</f>
        <v>809.21750348010676</v>
      </c>
      <c r="AD107" s="11">
        <f>IF(Components!AE107&gt;0,PPMT(EarningsRate,1,Components!$K107,0,-Components!AE107*((1+InflationRate)^Components!$K107),0),AC107)</f>
        <v>809.21750348010676</v>
      </c>
      <c r="AE107" s="11">
        <f>IF(Components!AF107&gt;0,PPMT(EarningsRate,1,Components!$K107,0,-Components!AF107*((1+InflationRate)^Components!$K107),0),AD107)</f>
        <v>809.21750348010676</v>
      </c>
      <c r="AF107" s="11">
        <f>IF(Components!AG107&gt;0,PPMT(EarningsRate,1,Components!$K107,0,-Components!AG107*((1+InflationRate)^Components!$K107),0),AE107)</f>
        <v>809.21750348010676</v>
      </c>
      <c r="AG107" s="11">
        <f>IF(Components!AH107&gt;0,PPMT(EarningsRate,1,Components!$K107,0,-Components!AH107*((1+InflationRate)^Components!$K107),0),AF107)</f>
        <v>809.21750348010676</v>
      </c>
      <c r="AH107" s="11">
        <f>IF(Components!AI107&gt;0,PPMT(EarningsRate,1,Components!$K107,0,-Components!AI107*((1+InflationRate)^Components!$K107),0),AG107)</f>
        <v>809.21750348010676</v>
      </c>
      <c r="AI107" s="11">
        <f>IF(Components!AJ107&gt;0,PPMT(EarningsRate,1,Components!$K107,0,-Components!AJ107*((1+InflationRate)^Components!$K107),0),AH107)</f>
        <v>809.21750348010676</v>
      </c>
      <c r="AJ107" s="11">
        <f>IF(Components!AK107&gt;0,PPMT(EarningsRate,1,Components!$K107,0,-Components!AK107*((1+InflationRate)^Components!$K107),0),AI107)</f>
        <v>809.21750348010676</v>
      </c>
      <c r="AK107" s="11">
        <f>IF(Components!AL107&gt;0,PPMT(EarningsRate,1,Components!$K107,0,-Components!AL107*((1+InflationRate)^Components!$K107),0),AJ107)</f>
        <v>809.21750348010676</v>
      </c>
      <c r="AL107" s="11">
        <f>IF(Components!AM107&gt;0,PPMT(EarningsRate,1,Components!$K107,0,-Components!AM107*((1+InflationRate)^Components!$K107),0),AK107)</f>
        <v>809.21750348010676</v>
      </c>
      <c r="AM107" s="11">
        <f>IF(Components!AN107&gt;0,PPMT(EarningsRate,1,Components!$K107,0,-Components!AN107*((1+InflationRate)^Components!$K107),0),AL107)</f>
        <v>809.21750348010676</v>
      </c>
      <c r="AN107" s="11">
        <f>IF(Components!AO107&gt;0,PPMT(EarningsRate,1,Components!$K107,0,-Components!AO107*((1+InflationRate)^Components!$K107),0),AM107)</f>
        <v>809.21750348010676</v>
      </c>
      <c r="AO107" s="11">
        <f>IF(Components!AP107&gt;0,PPMT(EarningsRate,1,Components!$K107,0,-Components!AP107*((1+InflationRate)^Components!$K107),0),AN107)</f>
        <v>809.21750348010676</v>
      </c>
      <c r="AP107" s="214"/>
      <c r="AQ107" s="11">
        <f t="shared" si="2"/>
        <v>16230.259490236243</v>
      </c>
    </row>
    <row r="108" spans="1:43" s="1" customFormat="1">
      <c r="A108" s="220" t="str">
        <f>Components!B108</f>
        <v>Golf Course</v>
      </c>
      <c r="B108" s="220" t="str">
        <f>Components!C108</f>
        <v>Cart Path--Concrete Map C-1</v>
      </c>
      <c r="C108" s="211"/>
      <c r="D108" s="211"/>
      <c r="E108" s="211"/>
      <c r="F108" s="88"/>
      <c r="G108" s="212"/>
      <c r="H108" s="212"/>
      <c r="I108" s="212"/>
      <c r="J108" s="211"/>
      <c r="K108" s="11">
        <f>IF('FF Balance'!H108&gt;=0,PPMT(EarningsRate,1,Components!K108,0,-'FF Balance'!G108,0),0)</f>
        <v>1206.1272205778321</v>
      </c>
      <c r="L108" s="11">
        <f>IF(Components!M108&gt;0,PPMT(EarningsRate,1,Components!$K108,0,-Components!M108*((1+InflationRate)^Components!$K108),0),K108)</f>
        <v>1206.1272205778321</v>
      </c>
      <c r="M108" s="11">
        <f>IF(Components!N108&gt;0,PPMT(EarningsRate,1,Components!$K108,0,-Components!N108*((1+InflationRate)^Components!$K108),0),L108)</f>
        <v>1206.1272205778321</v>
      </c>
      <c r="N108" s="11">
        <f>IF(Components!O108&gt;0,PPMT(EarningsRate,1,Components!$K108,0,-Components!O108*((1+InflationRate)^Components!$K108),0),M108)</f>
        <v>1206.1272205778321</v>
      </c>
      <c r="O108" s="11">
        <f>IF(Components!P108&gt;0,PPMT(EarningsRate,1,Components!$K108,0,-Components!P108*((1+InflationRate)^Components!$K108),0),N108)</f>
        <v>1206.1272205778321</v>
      </c>
      <c r="P108" s="11">
        <f>IF(Components!Q108&gt;0,PPMT(EarningsRate,1,Components!$K108,0,-Components!Q108*((1+InflationRate)^Components!$K108),0),O108)</f>
        <v>1206.1272205778321</v>
      </c>
      <c r="Q108" s="11">
        <f>IF(Components!R108&gt;0,PPMT(EarningsRate,1,Components!$K108,0,-Components!R108*((1+InflationRate)^Components!$K108),0),P108)</f>
        <v>1206.1272205778321</v>
      </c>
      <c r="R108" s="11">
        <f>IF(Components!S108&gt;0,PPMT(EarningsRate,1,Components!$K108,0,-Components!S108*((1+InflationRate)^Components!$K108),0),Q108)</f>
        <v>1206.1272205778321</v>
      </c>
      <c r="S108" s="11">
        <f>IF(Components!T108&gt;0,PPMT(EarningsRate,1,Components!$K108,0,-Components!T108*((1+InflationRate)^Components!$K108),0),R108)</f>
        <v>1206.1272205778321</v>
      </c>
      <c r="T108" s="11">
        <f>IF(Components!U108&gt;0,PPMT(EarningsRate,1,Components!$K108,0,-Components!U108*((1+InflationRate)^Components!$K108),0),S108)</f>
        <v>1206.1272205778321</v>
      </c>
      <c r="U108" s="11">
        <f>IF(Components!V108&gt;0,PPMT(EarningsRate,1,Components!$K108,0,-Components!V108*((1+InflationRate)^Components!$K108),0),T108)</f>
        <v>1206.1272205778321</v>
      </c>
      <c r="V108" s="11">
        <f>IF(Components!W108&gt;0,PPMT(EarningsRate,1,Components!$K108,0,-Components!W108*((1+InflationRate)^Components!$K108),0),U108)</f>
        <v>1206.1272205778321</v>
      </c>
      <c r="W108" s="11">
        <f>IF(Components!X108&gt;0,PPMT(EarningsRate,1,Components!$K108,0,-Components!X108*((1+InflationRate)^Components!$K108),0),V108)</f>
        <v>1206.1272205778321</v>
      </c>
      <c r="X108" s="11">
        <f>IF(Components!Y108&gt;0,PPMT(EarningsRate,1,Components!$K108,0,-Components!Y108*((1+InflationRate)^Components!$K108),0),W108)</f>
        <v>1206.1272205778321</v>
      </c>
      <c r="Y108" s="11">
        <f>IF(Components!Z108&gt;0,PPMT(EarningsRate,1,Components!$K108,0,-Components!Z108*((1+InflationRate)^Components!$K108),0),X108)</f>
        <v>1206.1272205778321</v>
      </c>
      <c r="Z108" s="11">
        <f>IF(Components!AA108&gt;0,PPMT(EarningsRate,1,Components!$K108,0,-Components!AA108*((1+InflationRate)^Components!$K108),0),Y108)</f>
        <v>1206.1272205778321</v>
      </c>
      <c r="AA108" s="11">
        <f>IF(Components!AB108&gt;0,PPMT(EarningsRate,1,Components!$K108,0,-Components!AB108*((1+InflationRate)^Components!$K108),0),Z108)</f>
        <v>1206.1272205778321</v>
      </c>
      <c r="AB108" s="11">
        <f>IF(Components!AC108&gt;0,PPMT(EarningsRate,1,Components!$K108,0,-Components!AC108*((1+InflationRate)^Components!$K108),0),AA108)</f>
        <v>1206.1272205778321</v>
      </c>
      <c r="AC108" s="11">
        <f>IF(Components!AD108&gt;0,PPMT(EarningsRate,1,Components!$K108,0,-Components!AD108*((1+InflationRate)^Components!$K108),0),AB108)</f>
        <v>1206.1272205778321</v>
      </c>
      <c r="AD108" s="11">
        <f>IF(Components!AE108&gt;0,PPMT(EarningsRate,1,Components!$K108,0,-Components!AE108*((1+InflationRate)^Components!$K108),0),AC108)</f>
        <v>1206.1272205778321</v>
      </c>
      <c r="AE108" s="11">
        <f>IF(Components!AF108&gt;0,PPMT(EarningsRate,1,Components!$K108,0,-Components!AF108*((1+InflationRate)^Components!$K108),0),AD108)</f>
        <v>1206.1272205778321</v>
      </c>
      <c r="AF108" s="11">
        <f>IF(Components!AG108&gt;0,PPMT(EarningsRate,1,Components!$K108,0,-Components!AG108*((1+InflationRate)^Components!$K108),0),AE108)</f>
        <v>1206.1272205778321</v>
      </c>
      <c r="AG108" s="11">
        <f>IF(Components!AH108&gt;0,PPMT(EarningsRate,1,Components!$K108,0,-Components!AH108*((1+InflationRate)^Components!$K108),0),AF108)</f>
        <v>1206.1272205778321</v>
      </c>
      <c r="AH108" s="11">
        <f>IF(Components!AI108&gt;0,PPMT(EarningsRate,1,Components!$K108,0,-Components!AI108*((1+InflationRate)^Components!$K108),0),AG108)</f>
        <v>3385.3502897883359</v>
      </c>
      <c r="AI108" s="11">
        <f>IF(Components!AJ108&gt;0,PPMT(EarningsRate,1,Components!$K108,0,-Components!AJ108*((1+InflationRate)^Components!$K108),0),AH108)</f>
        <v>3385.3502897883359</v>
      </c>
      <c r="AJ108" s="11">
        <f>IF(Components!AK108&gt;0,PPMT(EarningsRate,1,Components!$K108,0,-Components!AK108*((1+InflationRate)^Components!$K108),0),AI108)</f>
        <v>3385.3502897883359</v>
      </c>
      <c r="AK108" s="11">
        <f>IF(Components!AL108&gt;0,PPMT(EarningsRate,1,Components!$K108,0,-Components!AL108*((1+InflationRate)^Components!$K108),0),AJ108)</f>
        <v>3385.3502897883359</v>
      </c>
      <c r="AL108" s="11">
        <f>IF(Components!AM108&gt;0,PPMT(EarningsRate,1,Components!$K108,0,-Components!AM108*((1+InflationRate)^Components!$K108),0),AK108)</f>
        <v>3385.3502897883359</v>
      </c>
      <c r="AM108" s="11">
        <f>IF(Components!AN108&gt;0,PPMT(EarningsRate,1,Components!$K108,0,-Components!AN108*((1+InflationRate)^Components!$K108),0),AL108)</f>
        <v>3385.3502897883359</v>
      </c>
      <c r="AN108" s="11">
        <f>IF(Components!AO108&gt;0,PPMT(EarningsRate,1,Components!$K108,0,-Components!AO108*((1+InflationRate)^Components!$K108),0),AM108)</f>
        <v>3385.3502897883359</v>
      </c>
      <c r="AO108" s="11">
        <f>IF(Components!AP108&gt;0,PPMT(EarningsRate,1,Components!$K108,0,-Components!AP108*((1+InflationRate)^Components!$K108),0),AN108)</f>
        <v>3385.3502897883359</v>
      </c>
      <c r="AP108" s="214"/>
      <c r="AQ108" s="11">
        <f t="shared" si="2"/>
        <v>54823.728491596841</v>
      </c>
    </row>
    <row r="109" spans="1:43" s="1" customFormat="1">
      <c r="A109" s="220" t="str">
        <f>Components!B109</f>
        <v>Golf Course</v>
      </c>
      <c r="B109" s="220" t="str">
        <f>Components!C109</f>
        <v>Cart Path--Concrete Map C-2, C-5</v>
      </c>
      <c r="C109" s="211"/>
      <c r="D109" s="211"/>
      <c r="E109" s="211"/>
      <c r="F109" s="88"/>
      <c r="G109" s="212"/>
      <c r="H109" s="212"/>
      <c r="I109" s="212"/>
      <c r="J109" s="211"/>
      <c r="K109" s="11">
        <f>IF('FF Balance'!H109&gt;=0,PPMT(EarningsRate,1,Components!K109,0,-'FF Balance'!G109,0),0)</f>
        <v>578.06942396195711</v>
      </c>
      <c r="L109" s="11">
        <f>IF(Components!M109&gt;0,PPMT(EarningsRate,1,Components!$K109,0,-Components!M109*((1+InflationRate)^Components!$K109),0),K109)</f>
        <v>578.06942396195711</v>
      </c>
      <c r="M109" s="11">
        <f>IF(Components!N109&gt;0,PPMT(EarningsRate,1,Components!$K109,0,-Components!N109*((1+InflationRate)^Components!$K109),0),L109)</f>
        <v>578.06942396195711</v>
      </c>
      <c r="N109" s="11">
        <f>IF(Components!O109&gt;0,PPMT(EarningsRate,1,Components!$K109,0,-Components!O109*((1+InflationRate)^Components!$K109),0),M109)</f>
        <v>578.06942396195711</v>
      </c>
      <c r="O109" s="11">
        <f>IF(Components!P109&gt;0,PPMT(EarningsRate,1,Components!$K109,0,-Components!P109*((1+InflationRate)^Components!$K109),0),N109)</f>
        <v>578.06942396195711</v>
      </c>
      <c r="P109" s="11">
        <f>IF(Components!Q109&gt;0,PPMT(EarningsRate,1,Components!$K109,0,-Components!Q109*((1+InflationRate)^Components!$K109),0),O109)</f>
        <v>578.06942396195711</v>
      </c>
      <c r="Q109" s="11">
        <f>IF(Components!R109&gt;0,PPMT(EarningsRate,1,Components!$K109,0,-Components!R109*((1+InflationRate)^Components!$K109),0),P109)</f>
        <v>578.06942396195711</v>
      </c>
      <c r="R109" s="11">
        <f>IF(Components!S109&gt;0,PPMT(EarningsRate,1,Components!$K109,0,-Components!S109*((1+InflationRate)^Components!$K109),0),Q109)</f>
        <v>578.06942396195711</v>
      </c>
      <c r="S109" s="11">
        <f>IF(Components!T109&gt;0,PPMT(EarningsRate,1,Components!$K109,0,-Components!T109*((1+InflationRate)^Components!$K109),0),R109)</f>
        <v>578.06942396195711</v>
      </c>
      <c r="T109" s="11">
        <f>IF(Components!U109&gt;0,PPMT(EarningsRate,1,Components!$K109,0,-Components!U109*((1+InflationRate)^Components!$K109),0),S109)</f>
        <v>578.06942396195711</v>
      </c>
      <c r="U109" s="11">
        <f>IF(Components!V109&gt;0,PPMT(EarningsRate,1,Components!$K109,0,-Components!V109*((1+InflationRate)^Components!$K109),0),T109)</f>
        <v>578.06942396195711</v>
      </c>
      <c r="V109" s="11">
        <f>IF(Components!W109&gt;0,PPMT(EarningsRate,1,Components!$K109,0,-Components!W109*((1+InflationRate)^Components!$K109),0),U109)</f>
        <v>578.06942396195711</v>
      </c>
      <c r="W109" s="11">
        <f>IF(Components!X109&gt;0,PPMT(EarningsRate,1,Components!$K109,0,-Components!X109*((1+InflationRate)^Components!$K109),0),V109)</f>
        <v>578.06942396195711</v>
      </c>
      <c r="X109" s="11">
        <f>IF(Components!Y109&gt;0,PPMT(EarningsRate,1,Components!$K109,0,-Components!Y109*((1+InflationRate)^Components!$K109),0),W109)</f>
        <v>578.06942396195711</v>
      </c>
      <c r="Y109" s="11">
        <f>IF(Components!Z109&gt;0,PPMT(EarningsRate,1,Components!$K109,0,-Components!Z109*((1+InflationRate)^Components!$K109),0),X109)</f>
        <v>578.06942396195711</v>
      </c>
      <c r="Z109" s="11">
        <f>IF(Components!AA109&gt;0,PPMT(EarningsRate,1,Components!$K109,0,-Components!AA109*((1+InflationRate)^Components!$K109),0),Y109)</f>
        <v>578.06942396195711</v>
      </c>
      <c r="AA109" s="11">
        <f>IF(Components!AB109&gt;0,PPMT(EarningsRate,1,Components!$K109,0,-Components!AB109*((1+InflationRate)^Components!$K109),0),Z109)</f>
        <v>578.06942396195711</v>
      </c>
      <c r="AB109" s="11">
        <f>IF(Components!AC109&gt;0,PPMT(EarningsRate,1,Components!$K109,0,-Components!AC109*((1+InflationRate)^Components!$K109),0),AA109)</f>
        <v>578.06942396195711</v>
      </c>
      <c r="AC109" s="11">
        <f>IF(Components!AD109&gt;0,PPMT(EarningsRate,1,Components!$K109,0,-Components!AD109*((1+InflationRate)^Components!$K109),0),AB109)</f>
        <v>578.06942396195711</v>
      </c>
      <c r="AD109" s="11">
        <f>IF(Components!AE109&gt;0,PPMT(EarningsRate,1,Components!$K109,0,-Components!AE109*((1+InflationRate)^Components!$K109),0),AC109)</f>
        <v>578.06942396195711</v>
      </c>
      <c r="AE109" s="11">
        <f>IF(Components!AF109&gt;0,PPMT(EarningsRate,1,Components!$K109,0,-Components!AF109*((1+InflationRate)^Components!$K109),0),AD109)</f>
        <v>578.06942396195711</v>
      </c>
      <c r="AF109" s="11">
        <f>IF(Components!AG109&gt;0,PPMT(EarningsRate,1,Components!$K109,0,-Components!AG109*((1+InflationRate)^Components!$K109),0),AE109)</f>
        <v>578.06942396195711</v>
      </c>
      <c r="AG109" s="11">
        <f>IF(Components!AH109&gt;0,PPMT(EarningsRate,1,Components!$K109,0,-Components!AH109*((1+InflationRate)^Components!$K109),0),AF109)</f>
        <v>578.06942396195711</v>
      </c>
      <c r="AH109" s="11">
        <f>IF(Components!AI109&gt;0,PPMT(EarningsRate,1,Components!$K109,0,-Components!AI109*((1+InflationRate)^Components!$K109),0),AG109)</f>
        <v>578.06942396195711</v>
      </c>
      <c r="AI109" s="11">
        <f>IF(Components!AJ109&gt;0,PPMT(EarningsRate,1,Components!$K109,0,-Components!AJ109*((1+InflationRate)^Components!$K109),0),AH109)</f>
        <v>578.06942396195711</v>
      </c>
      <c r="AJ109" s="11">
        <f>IF(Components!AK109&gt;0,PPMT(EarningsRate,1,Components!$K109,0,-Components!AK109*((1+InflationRate)^Components!$K109),0),AI109)</f>
        <v>1622.5216200574948</v>
      </c>
      <c r="AK109" s="11">
        <f>IF(Components!AL109&gt;0,PPMT(EarningsRate,1,Components!$K109,0,-Components!AL109*((1+InflationRate)^Components!$K109),0),AJ109)</f>
        <v>1622.5216200574948</v>
      </c>
      <c r="AL109" s="11">
        <f>IF(Components!AM109&gt;0,PPMT(EarningsRate,1,Components!$K109,0,-Components!AM109*((1+InflationRate)^Components!$K109),0),AK109)</f>
        <v>1622.5216200574948</v>
      </c>
      <c r="AM109" s="11">
        <f>IF(Components!AN109&gt;0,PPMT(EarningsRate,1,Components!$K109,0,-Components!AN109*((1+InflationRate)^Components!$K109),0),AL109)</f>
        <v>1622.5216200574948</v>
      </c>
      <c r="AN109" s="11">
        <f>IF(Components!AO109&gt;0,PPMT(EarningsRate,1,Components!$K109,0,-Components!AO109*((1+InflationRate)^Components!$K109),0),AM109)</f>
        <v>1622.5216200574948</v>
      </c>
      <c r="AO109" s="11">
        <f>IF(Components!AP109&gt;0,PPMT(EarningsRate,1,Components!$K109,0,-Components!AP109*((1+InflationRate)^Components!$K109),0),AN109)</f>
        <v>1622.5216200574948</v>
      </c>
      <c r="AP109" s="214"/>
      <c r="AQ109" s="11">
        <f t="shared" si="2"/>
        <v>24186.865419393893</v>
      </c>
    </row>
    <row r="110" spans="1:43" s="1" customFormat="1">
      <c r="A110" s="220" t="str">
        <f>Components!B110</f>
        <v>Golf Course</v>
      </c>
      <c r="B110" s="220" t="str">
        <f>Components!C110</f>
        <v>Cart Path--Concrete Map C-3</v>
      </c>
      <c r="C110" s="211"/>
      <c r="D110" s="211"/>
      <c r="E110" s="211"/>
      <c r="F110" s="88"/>
      <c r="G110" s="212"/>
      <c r="H110" s="212"/>
      <c r="I110" s="212"/>
      <c r="J110" s="211"/>
      <c r="K110" s="11">
        <f>IF('FF Balance'!H110&gt;=0,PPMT(EarningsRate,1,Components!K110,0,-'FF Balance'!G110,0),0)</f>
        <v>593.40566256257659</v>
      </c>
      <c r="L110" s="11">
        <f>IF(Components!M110&gt;0,PPMT(EarningsRate,1,Components!$K110,0,-Components!M110*((1+InflationRate)^Components!$K110),0),K110)</f>
        <v>593.40566256257659</v>
      </c>
      <c r="M110" s="11">
        <f>IF(Components!N110&gt;0,PPMT(EarningsRate,1,Components!$K110,0,-Components!N110*((1+InflationRate)^Components!$K110),0),L110)</f>
        <v>593.40566256257659</v>
      </c>
      <c r="N110" s="11">
        <f>IF(Components!O110&gt;0,PPMT(EarningsRate,1,Components!$K110,0,-Components!O110*((1+InflationRate)^Components!$K110),0),M110)</f>
        <v>593.40566256257659</v>
      </c>
      <c r="O110" s="11">
        <f>IF(Components!P110&gt;0,PPMT(EarningsRate,1,Components!$K110,0,-Components!P110*((1+InflationRate)^Components!$K110),0),N110)</f>
        <v>593.40566256257659</v>
      </c>
      <c r="P110" s="11">
        <f>IF(Components!Q110&gt;0,PPMT(EarningsRate,1,Components!$K110,0,-Components!Q110*((1+InflationRate)^Components!$K110),0),O110)</f>
        <v>593.40566256257659</v>
      </c>
      <c r="Q110" s="11">
        <f>IF(Components!R110&gt;0,PPMT(EarningsRate,1,Components!$K110,0,-Components!R110*((1+InflationRate)^Components!$K110),0),P110)</f>
        <v>593.40566256257659</v>
      </c>
      <c r="R110" s="11">
        <f>IF(Components!S110&gt;0,PPMT(EarningsRate,1,Components!$K110,0,-Components!S110*((1+InflationRate)^Components!$K110),0),Q110)</f>
        <v>593.40566256257659</v>
      </c>
      <c r="S110" s="11">
        <f>IF(Components!T110&gt;0,PPMT(EarningsRate,1,Components!$K110,0,-Components!T110*((1+InflationRate)^Components!$K110),0),R110)</f>
        <v>593.40566256257659</v>
      </c>
      <c r="T110" s="11">
        <f>IF(Components!U110&gt;0,PPMT(EarningsRate,1,Components!$K110,0,-Components!U110*((1+InflationRate)^Components!$K110),0),S110)</f>
        <v>593.40566256257659</v>
      </c>
      <c r="U110" s="11">
        <f>IF(Components!V110&gt;0,PPMT(EarningsRate,1,Components!$K110,0,-Components!V110*((1+InflationRate)^Components!$K110),0),T110)</f>
        <v>593.40566256257659</v>
      </c>
      <c r="V110" s="11">
        <f>IF(Components!W110&gt;0,PPMT(EarningsRate,1,Components!$K110,0,-Components!W110*((1+InflationRate)^Components!$K110),0),U110)</f>
        <v>593.40566256257659</v>
      </c>
      <c r="W110" s="11">
        <f>IF(Components!X110&gt;0,PPMT(EarningsRate,1,Components!$K110,0,-Components!X110*((1+InflationRate)^Components!$K110),0),V110)</f>
        <v>593.40566256257659</v>
      </c>
      <c r="X110" s="11">
        <f>IF(Components!Y110&gt;0,PPMT(EarningsRate,1,Components!$K110,0,-Components!Y110*((1+InflationRate)^Components!$K110),0),W110)</f>
        <v>593.40566256257659</v>
      </c>
      <c r="Y110" s="11">
        <f>IF(Components!Z110&gt;0,PPMT(EarningsRate,1,Components!$K110,0,-Components!Z110*((1+InflationRate)^Components!$K110),0),X110)</f>
        <v>593.40566256257659</v>
      </c>
      <c r="Z110" s="11">
        <f>IF(Components!AA110&gt;0,PPMT(EarningsRate,1,Components!$K110,0,-Components!AA110*((1+InflationRate)^Components!$K110),0),Y110)</f>
        <v>593.40566256257659</v>
      </c>
      <c r="AA110" s="11">
        <f>IF(Components!AB110&gt;0,PPMT(EarningsRate,1,Components!$K110,0,-Components!AB110*((1+InflationRate)^Components!$K110),0),Z110)</f>
        <v>593.40566256257659</v>
      </c>
      <c r="AB110" s="11">
        <f>IF(Components!AC110&gt;0,PPMT(EarningsRate,1,Components!$K110,0,-Components!AC110*((1+InflationRate)^Components!$K110),0),AA110)</f>
        <v>593.40566256257659</v>
      </c>
      <c r="AC110" s="11">
        <f>IF(Components!AD110&gt;0,PPMT(EarningsRate,1,Components!$K110,0,-Components!AD110*((1+InflationRate)^Components!$K110),0),AB110)</f>
        <v>593.40566256257659</v>
      </c>
      <c r="AD110" s="11">
        <f>IF(Components!AE110&gt;0,PPMT(EarningsRate,1,Components!$K110,0,-Components!AE110*((1+InflationRate)^Components!$K110),0),AC110)</f>
        <v>593.40566256257659</v>
      </c>
      <c r="AE110" s="11">
        <f>IF(Components!AF110&gt;0,PPMT(EarningsRate,1,Components!$K110,0,-Components!AF110*((1+InflationRate)^Components!$K110),0),AD110)</f>
        <v>593.40566256257659</v>
      </c>
      <c r="AF110" s="11">
        <f>IF(Components!AG110&gt;0,PPMT(EarningsRate,1,Components!$K110,0,-Components!AG110*((1+InflationRate)^Components!$K110),0),AE110)</f>
        <v>593.40566256257659</v>
      </c>
      <c r="AG110" s="11">
        <f>IF(Components!AH110&gt;0,PPMT(EarningsRate,1,Components!$K110,0,-Components!AH110*((1+InflationRate)^Components!$K110),0),AF110)</f>
        <v>593.40566256257659</v>
      </c>
      <c r="AH110" s="11">
        <f>IF(Components!AI110&gt;0,PPMT(EarningsRate,1,Components!$K110,0,-Components!AI110*((1+InflationRate)^Components!$K110),0),AG110)</f>
        <v>593.40566256257659</v>
      </c>
      <c r="AI110" s="11">
        <f>IF(Components!AJ110&gt;0,PPMT(EarningsRate,1,Components!$K110,0,-Components!AJ110*((1+InflationRate)^Components!$K110),0),AH110)</f>
        <v>1665.5672780155317</v>
      </c>
      <c r="AJ110" s="11">
        <f>IF(Components!AK110&gt;0,PPMT(EarningsRate,1,Components!$K110,0,-Components!AK110*((1+InflationRate)^Components!$K110),0),AI110)</f>
        <v>1665.5672780155317</v>
      </c>
      <c r="AK110" s="11">
        <f>IF(Components!AL110&gt;0,PPMT(EarningsRate,1,Components!$K110,0,-Components!AL110*((1+InflationRate)^Components!$K110),0),AJ110)</f>
        <v>1665.5672780155317</v>
      </c>
      <c r="AL110" s="11">
        <f>IF(Components!AM110&gt;0,PPMT(EarningsRate,1,Components!$K110,0,-Components!AM110*((1+InflationRate)^Components!$K110),0),AK110)</f>
        <v>1665.5672780155317</v>
      </c>
      <c r="AM110" s="11">
        <f>IF(Components!AN110&gt;0,PPMT(EarningsRate,1,Components!$K110,0,-Components!AN110*((1+InflationRate)^Components!$K110),0),AL110)</f>
        <v>1665.5672780155317</v>
      </c>
      <c r="AN110" s="11">
        <f>IF(Components!AO110&gt;0,PPMT(EarningsRate,1,Components!$K110,0,-Components!AO110*((1+InflationRate)^Components!$K110),0),AM110)</f>
        <v>1665.5672780155317</v>
      </c>
      <c r="AO110" s="11">
        <f>IF(Components!AP110&gt;0,PPMT(EarningsRate,1,Components!$K110,0,-Components!AP110*((1+InflationRate)^Components!$K110),0),AN110)</f>
        <v>1665.5672780155317</v>
      </c>
      <c r="AP110" s="214"/>
      <c r="AQ110" s="11">
        <f t="shared" si="2"/>
        <v>25900.706947610561</v>
      </c>
    </row>
    <row r="111" spans="1:43" s="1" customFormat="1">
      <c r="A111" s="220" t="str">
        <f>Components!B111</f>
        <v>Golf Course</v>
      </c>
      <c r="B111" s="220" t="str">
        <f>Components!C111</f>
        <v>Cart Path--Concrete Map C-4, C-7</v>
      </c>
      <c r="C111" s="211"/>
      <c r="D111" s="211"/>
      <c r="E111" s="211"/>
      <c r="F111" s="88"/>
      <c r="G111" s="212"/>
      <c r="H111" s="212"/>
      <c r="I111" s="212"/>
      <c r="J111" s="211"/>
      <c r="K111" s="11">
        <f>IF('FF Balance'!H111&gt;=0,PPMT(EarningsRate,1,Components!K111,0,-'FF Balance'!G111,0),0)</f>
        <v>2243.167557343771</v>
      </c>
      <c r="L111" s="11">
        <f>IF(Components!M111&gt;0,PPMT(EarningsRate,1,Components!$K111,0,-Components!M111*((1+InflationRate)^Components!$K111),0),K111)</f>
        <v>2243.167557343771</v>
      </c>
      <c r="M111" s="11">
        <f>IF(Components!N111&gt;0,PPMT(EarningsRate,1,Components!$K111,0,-Components!N111*((1+InflationRate)^Components!$K111),0),L111)</f>
        <v>2243.167557343771</v>
      </c>
      <c r="N111" s="11">
        <f>IF(Components!O111&gt;0,PPMT(EarningsRate,1,Components!$K111,0,-Components!O111*((1+InflationRate)^Components!$K111),0),M111)</f>
        <v>2243.167557343771</v>
      </c>
      <c r="O111" s="11">
        <f>IF(Components!P111&gt;0,PPMT(EarningsRate,1,Components!$K111,0,-Components!P111*((1+InflationRate)^Components!$K111),0),N111)</f>
        <v>2243.167557343771</v>
      </c>
      <c r="P111" s="11">
        <f>IF(Components!Q111&gt;0,PPMT(EarningsRate,1,Components!$K111,0,-Components!Q111*((1+InflationRate)^Components!$K111),0),O111)</f>
        <v>2243.167557343771</v>
      </c>
      <c r="Q111" s="11">
        <f>IF(Components!R111&gt;0,PPMT(EarningsRate,1,Components!$K111,0,-Components!R111*((1+InflationRate)^Components!$K111),0),P111)</f>
        <v>2243.167557343771</v>
      </c>
      <c r="R111" s="11">
        <f>IF(Components!S111&gt;0,PPMT(EarningsRate,1,Components!$K111,0,-Components!S111*((1+InflationRate)^Components!$K111),0),Q111)</f>
        <v>2243.167557343771</v>
      </c>
      <c r="S111" s="11">
        <f>IF(Components!T111&gt;0,PPMT(EarningsRate,1,Components!$K111,0,-Components!T111*((1+InflationRate)^Components!$K111),0),R111)</f>
        <v>2243.167557343771</v>
      </c>
      <c r="T111" s="11">
        <f>IF(Components!U111&gt;0,PPMT(EarningsRate,1,Components!$K111,0,-Components!U111*((1+InflationRate)^Components!$K111),0),S111)</f>
        <v>2243.167557343771</v>
      </c>
      <c r="U111" s="11">
        <f>IF(Components!V111&gt;0,PPMT(EarningsRate,1,Components!$K111,0,-Components!V111*((1+InflationRate)^Components!$K111),0),T111)</f>
        <v>2243.167557343771</v>
      </c>
      <c r="V111" s="11">
        <f>IF(Components!W111&gt;0,PPMT(EarningsRate,1,Components!$K111,0,-Components!W111*((1+InflationRate)^Components!$K111),0),U111)</f>
        <v>2243.167557343771</v>
      </c>
      <c r="W111" s="11">
        <f>IF(Components!X111&gt;0,PPMT(EarningsRate,1,Components!$K111,0,-Components!X111*((1+InflationRate)^Components!$K111),0),V111)</f>
        <v>2243.167557343771</v>
      </c>
      <c r="X111" s="11">
        <f>IF(Components!Y111&gt;0,PPMT(EarningsRate,1,Components!$K111,0,-Components!Y111*((1+InflationRate)^Components!$K111),0),W111)</f>
        <v>2243.167557343771</v>
      </c>
      <c r="Y111" s="11">
        <f>IF(Components!Z111&gt;0,PPMT(EarningsRate,1,Components!$K111,0,-Components!Z111*((1+InflationRate)^Components!$K111),0),X111)</f>
        <v>2243.167557343771</v>
      </c>
      <c r="Z111" s="11">
        <f>IF(Components!AA111&gt;0,PPMT(EarningsRate,1,Components!$K111,0,-Components!AA111*((1+InflationRate)^Components!$K111),0),Y111)</f>
        <v>2243.167557343771</v>
      </c>
      <c r="AA111" s="11">
        <f>IF(Components!AB111&gt;0,PPMT(EarningsRate,1,Components!$K111,0,-Components!AB111*((1+InflationRate)^Components!$K111),0),Z111)</f>
        <v>2243.167557343771</v>
      </c>
      <c r="AB111" s="11">
        <f>IF(Components!AC111&gt;0,PPMT(EarningsRate,1,Components!$K111,0,-Components!AC111*((1+InflationRate)^Components!$K111),0),AA111)</f>
        <v>2243.167557343771</v>
      </c>
      <c r="AC111" s="11">
        <f>IF(Components!AD111&gt;0,PPMT(EarningsRate,1,Components!$K111,0,-Components!AD111*((1+InflationRate)^Components!$K111),0),AB111)</f>
        <v>2243.167557343771</v>
      </c>
      <c r="AD111" s="11">
        <f>IF(Components!AE111&gt;0,PPMT(EarningsRate,1,Components!$K111,0,-Components!AE111*((1+InflationRate)^Components!$K111),0),AC111)</f>
        <v>2243.167557343771</v>
      </c>
      <c r="AE111" s="11">
        <f>IF(Components!AF111&gt;0,PPMT(EarningsRate,1,Components!$K111,0,-Components!AF111*((1+InflationRate)^Components!$K111),0),AD111)</f>
        <v>2243.167557343771</v>
      </c>
      <c r="AF111" s="11">
        <f>IF(Components!AG111&gt;0,PPMT(EarningsRate,1,Components!$K111,0,-Components!AG111*((1+InflationRate)^Components!$K111),0),AE111)</f>
        <v>2243.167557343771</v>
      </c>
      <c r="AG111" s="11">
        <f>IF(Components!AH111&gt;0,PPMT(EarningsRate,1,Components!$K111,0,-Components!AH111*((1+InflationRate)^Components!$K111),0),AF111)</f>
        <v>2243.167557343771</v>
      </c>
      <c r="AH111" s="11">
        <f>IF(Components!AI111&gt;0,PPMT(EarningsRate,1,Components!$K111,0,-Components!AI111*((1+InflationRate)^Components!$K111),0),AG111)</f>
        <v>2243.167557343771</v>
      </c>
      <c r="AI111" s="11">
        <f>IF(Components!AJ111&gt;0,PPMT(EarningsRate,1,Components!$K111,0,-Components!AJ111*((1+InflationRate)^Components!$K111),0),AH111)</f>
        <v>2243.167557343771</v>
      </c>
      <c r="AJ111" s="11">
        <f>IF(Components!AK111&gt;0,PPMT(EarningsRate,1,Components!$K111,0,-Components!AK111*((1+InflationRate)^Components!$K111),0),AI111)</f>
        <v>2243.167557343771</v>
      </c>
      <c r="AK111" s="11">
        <f>IF(Components!AL111&gt;0,PPMT(EarningsRate,1,Components!$K111,0,-Components!AL111*((1+InflationRate)^Components!$K111),0),AJ111)</f>
        <v>2243.167557343771</v>
      </c>
      <c r="AL111" s="11">
        <f>IF(Components!AM111&gt;0,PPMT(EarningsRate,1,Components!$K111,0,-Components!AM111*((1+InflationRate)^Components!$K111),0),AK111)</f>
        <v>2243.167557343771</v>
      </c>
      <c r="AM111" s="11">
        <f>IF(Components!AN111&gt;0,PPMT(EarningsRate,1,Components!$K111,0,-Components!AN111*((1+InflationRate)^Components!$K111),0),AL111)</f>
        <v>6296.1085785456653</v>
      </c>
      <c r="AN111" s="11">
        <f>IF(Components!AO111&gt;0,PPMT(EarningsRate,1,Components!$K111,0,-Components!AO111*((1+InflationRate)^Components!$K111),0),AM111)</f>
        <v>6296.1085785456653</v>
      </c>
      <c r="AO111" s="11">
        <f>IF(Components!AP111&gt;0,PPMT(EarningsRate,1,Components!$K111,0,-Components!AP111*((1+InflationRate)^Components!$K111),0),AN111)</f>
        <v>6296.1085785456653</v>
      </c>
      <c r="AP111" s="214"/>
      <c r="AQ111" s="11">
        <f t="shared" si="2"/>
        <v>81697.017441262549</v>
      </c>
    </row>
    <row r="112" spans="1:43" s="1" customFormat="1">
      <c r="A112" s="220" t="str">
        <f>Components!B112</f>
        <v>Golf Course</v>
      </c>
      <c r="B112" s="220" t="str">
        <f>Components!C112</f>
        <v>Cart Path--Concrete Map C-6</v>
      </c>
      <c r="C112" s="211"/>
      <c r="D112" s="211"/>
      <c r="E112" s="211"/>
      <c r="F112" s="88"/>
      <c r="G112" s="212"/>
      <c r="H112" s="212"/>
      <c r="I112" s="212"/>
      <c r="J112" s="211"/>
      <c r="K112" s="11">
        <f>IF('FF Balance'!H112&gt;=0,PPMT(EarningsRate,1,Components!K112,0,-'FF Balance'!G112,0),0)</f>
        <v>949.90041142602684</v>
      </c>
      <c r="L112" s="11">
        <f>IF(Components!M112&gt;0,PPMT(EarningsRate,1,Components!$K112,0,-Components!M112*((1+InflationRate)^Components!$K112),0),K112)</f>
        <v>949.90041142602684</v>
      </c>
      <c r="M112" s="11">
        <f>IF(Components!N112&gt;0,PPMT(EarningsRate,1,Components!$K112,0,-Components!N112*((1+InflationRate)^Components!$K112),0),L112)</f>
        <v>949.90041142602684</v>
      </c>
      <c r="N112" s="11">
        <f>IF(Components!O112&gt;0,PPMT(EarningsRate,1,Components!$K112,0,-Components!O112*((1+InflationRate)^Components!$K112),0),M112)</f>
        <v>949.90041142602684</v>
      </c>
      <c r="O112" s="11">
        <f>IF(Components!P112&gt;0,PPMT(EarningsRate,1,Components!$K112,0,-Components!P112*((1+InflationRate)^Components!$K112),0),N112)</f>
        <v>949.90041142602684</v>
      </c>
      <c r="P112" s="11">
        <f>IF(Components!Q112&gt;0,PPMT(EarningsRate,1,Components!$K112,0,-Components!Q112*((1+InflationRate)^Components!$K112),0),O112)</f>
        <v>949.90041142602684</v>
      </c>
      <c r="Q112" s="11">
        <f>IF(Components!R112&gt;0,PPMT(EarningsRate,1,Components!$K112,0,-Components!R112*((1+InflationRate)^Components!$K112),0),P112)</f>
        <v>949.90041142602684</v>
      </c>
      <c r="R112" s="11">
        <f>IF(Components!S112&gt;0,PPMT(EarningsRate,1,Components!$K112,0,-Components!S112*((1+InflationRate)^Components!$K112),0),Q112)</f>
        <v>949.90041142602684</v>
      </c>
      <c r="S112" s="11">
        <f>IF(Components!T112&gt;0,PPMT(EarningsRate,1,Components!$K112,0,-Components!T112*((1+InflationRate)^Components!$K112),0),R112)</f>
        <v>949.90041142602684</v>
      </c>
      <c r="T112" s="11">
        <f>IF(Components!U112&gt;0,PPMT(EarningsRate,1,Components!$K112,0,-Components!U112*((1+InflationRate)^Components!$K112),0),S112)</f>
        <v>949.90041142602684</v>
      </c>
      <c r="U112" s="11">
        <f>IF(Components!V112&gt;0,PPMT(EarningsRate,1,Components!$K112,0,-Components!V112*((1+InflationRate)^Components!$K112),0),T112)</f>
        <v>949.90041142602684</v>
      </c>
      <c r="V112" s="11">
        <f>IF(Components!W112&gt;0,PPMT(EarningsRate,1,Components!$K112,0,-Components!W112*((1+InflationRate)^Components!$K112),0),U112)</f>
        <v>949.90041142602684</v>
      </c>
      <c r="W112" s="11">
        <f>IF(Components!X112&gt;0,PPMT(EarningsRate,1,Components!$K112,0,-Components!X112*((1+InflationRate)^Components!$K112),0),V112)</f>
        <v>949.90041142602684</v>
      </c>
      <c r="X112" s="11">
        <f>IF(Components!Y112&gt;0,PPMT(EarningsRate,1,Components!$K112,0,-Components!Y112*((1+InflationRate)^Components!$K112),0),W112)</f>
        <v>949.90041142602684</v>
      </c>
      <c r="Y112" s="11">
        <f>IF(Components!Z112&gt;0,PPMT(EarningsRate,1,Components!$K112,0,-Components!Z112*((1+InflationRate)^Components!$K112),0),X112)</f>
        <v>949.90041142602684</v>
      </c>
      <c r="Z112" s="11">
        <f>IF(Components!AA112&gt;0,PPMT(EarningsRate,1,Components!$K112,0,-Components!AA112*((1+InflationRate)^Components!$K112),0),Y112)</f>
        <v>949.90041142602684</v>
      </c>
      <c r="AA112" s="11">
        <f>IF(Components!AB112&gt;0,PPMT(EarningsRate,1,Components!$K112,0,-Components!AB112*((1+InflationRate)^Components!$K112),0),Z112)</f>
        <v>949.90041142602684</v>
      </c>
      <c r="AB112" s="11">
        <f>IF(Components!AC112&gt;0,PPMT(EarningsRate,1,Components!$K112,0,-Components!AC112*((1+InflationRate)^Components!$K112),0),AA112)</f>
        <v>949.90041142602684</v>
      </c>
      <c r="AC112" s="11">
        <f>IF(Components!AD112&gt;0,PPMT(EarningsRate,1,Components!$K112,0,-Components!AD112*((1+InflationRate)^Components!$K112),0),AB112)</f>
        <v>949.90041142602684</v>
      </c>
      <c r="AD112" s="11">
        <f>IF(Components!AE112&gt;0,PPMT(EarningsRate,1,Components!$K112,0,-Components!AE112*((1+InflationRate)^Components!$K112),0),AC112)</f>
        <v>949.90041142602684</v>
      </c>
      <c r="AE112" s="11">
        <f>IF(Components!AF112&gt;0,PPMT(EarningsRate,1,Components!$K112,0,-Components!AF112*((1+InflationRate)^Components!$K112),0),AD112)</f>
        <v>949.90041142602684</v>
      </c>
      <c r="AF112" s="11">
        <f>IF(Components!AG112&gt;0,PPMT(EarningsRate,1,Components!$K112,0,-Components!AG112*((1+InflationRate)^Components!$K112),0),AE112)</f>
        <v>949.90041142602684</v>
      </c>
      <c r="AG112" s="11">
        <f>IF(Components!AH112&gt;0,PPMT(EarningsRate,1,Components!$K112,0,-Components!AH112*((1+InflationRate)^Components!$K112),0),AF112)</f>
        <v>949.90041142602684</v>
      </c>
      <c r="AH112" s="11">
        <f>IF(Components!AI112&gt;0,PPMT(EarningsRate,1,Components!$K112,0,-Components!AI112*((1+InflationRate)^Components!$K112),0),AG112)</f>
        <v>949.90041142602684</v>
      </c>
      <c r="AI112" s="11">
        <f>IF(Components!AJ112&gt;0,PPMT(EarningsRate,1,Components!$K112,0,-Components!AJ112*((1+InflationRate)^Components!$K112),0),AH112)</f>
        <v>949.90041142602684</v>
      </c>
      <c r="AJ112" s="11">
        <f>IF(Components!AK112&gt;0,PPMT(EarningsRate,1,Components!$K112,0,-Components!AK112*((1+InflationRate)^Components!$K112),0),AI112)</f>
        <v>949.90041142602684</v>
      </c>
      <c r="AK112" s="11">
        <f>IF(Components!AL112&gt;0,PPMT(EarningsRate,1,Components!$K112,0,-Components!AL112*((1+InflationRate)^Components!$K112),0),AJ112)</f>
        <v>949.90041142602684</v>
      </c>
      <c r="AL112" s="11">
        <f>IF(Components!AM112&gt;0,PPMT(EarningsRate,1,Components!$K112,0,-Components!AM112*((1+InflationRate)^Components!$K112),0),AK112)</f>
        <v>949.90041142602684</v>
      </c>
      <c r="AM112" s="11">
        <f>IF(Components!AN112&gt;0,PPMT(EarningsRate,1,Components!$K112,0,-Components!AN112*((1+InflationRate)^Components!$K112),0),AL112)</f>
        <v>2666.1744948850073</v>
      </c>
      <c r="AN112" s="11">
        <f>IF(Components!AO112&gt;0,PPMT(EarningsRate,1,Components!$K112,0,-Components!AO112*((1+InflationRate)^Components!$K112),0),AM112)</f>
        <v>2666.1744948850073</v>
      </c>
      <c r="AO112" s="11">
        <f>IF(Components!AP112&gt;0,PPMT(EarningsRate,1,Components!$K112,0,-Components!AP112*((1+InflationRate)^Components!$K112),0),AN112)</f>
        <v>2666.1744948850073</v>
      </c>
      <c r="AP112" s="214"/>
      <c r="AQ112" s="11">
        <f t="shared" si="2"/>
        <v>34595.735104583771</v>
      </c>
    </row>
    <row r="113" spans="1:43" s="1" customFormat="1">
      <c r="A113" s="220" t="str">
        <f>Components!B113</f>
        <v>Golf Course</v>
      </c>
      <c r="B113" s="220" t="str">
        <f>Components!C113</f>
        <v>Golf Course Bridge</v>
      </c>
      <c r="C113" s="211"/>
      <c r="D113" s="211"/>
      <c r="E113" s="211"/>
      <c r="F113" s="88"/>
      <c r="G113" s="212"/>
      <c r="H113" s="212"/>
      <c r="I113" s="212"/>
      <c r="J113" s="211"/>
      <c r="K113" s="11">
        <f>IF('FF Balance'!H113&gt;=0,PPMT(EarningsRate,1,Components!K113,0,-'FF Balance'!G113,0),0)</f>
        <v>4616.2078187864581</v>
      </c>
      <c r="L113" s="11">
        <f>IF(Components!M113&gt;0,PPMT(EarningsRate,1,Components!$K113,0,-Components!M113*((1+InflationRate)^Components!$K113),0),K113)</f>
        <v>4616.2078187864581</v>
      </c>
      <c r="M113" s="11">
        <f>IF(Components!N113&gt;0,PPMT(EarningsRate,1,Components!$K113,0,-Components!N113*((1+InflationRate)^Components!$K113),0),L113)</f>
        <v>4616.2078187864581</v>
      </c>
      <c r="N113" s="11">
        <f>IF(Components!O113&gt;0,PPMT(EarningsRate,1,Components!$K113,0,-Components!O113*((1+InflationRate)^Components!$K113),0),M113)</f>
        <v>4616.2078187864581</v>
      </c>
      <c r="O113" s="11">
        <f>IF(Components!P113&gt;0,PPMT(EarningsRate,1,Components!$K113,0,-Components!P113*((1+InflationRate)^Components!$K113),0),N113)</f>
        <v>12956.743045368878</v>
      </c>
      <c r="P113" s="11">
        <f>IF(Components!Q113&gt;0,PPMT(EarningsRate,1,Components!$K113,0,-Components!Q113*((1+InflationRate)^Components!$K113),0),O113)</f>
        <v>12956.743045368878</v>
      </c>
      <c r="Q113" s="11">
        <f>IF(Components!R113&gt;0,PPMT(EarningsRate,1,Components!$K113,0,-Components!R113*((1+InflationRate)^Components!$K113),0),P113)</f>
        <v>12956.743045368878</v>
      </c>
      <c r="R113" s="11">
        <f>IF(Components!S113&gt;0,PPMT(EarningsRate,1,Components!$K113,0,-Components!S113*((1+InflationRate)^Components!$K113),0),Q113)</f>
        <v>12956.743045368878</v>
      </c>
      <c r="S113" s="11">
        <f>IF(Components!T113&gt;0,PPMT(EarningsRate,1,Components!$K113,0,-Components!T113*((1+InflationRate)^Components!$K113),0),R113)</f>
        <v>12956.743045368878</v>
      </c>
      <c r="T113" s="11">
        <f>IF(Components!U113&gt;0,PPMT(EarningsRate,1,Components!$K113,0,-Components!U113*((1+InflationRate)^Components!$K113),0),S113)</f>
        <v>12956.743045368878</v>
      </c>
      <c r="U113" s="11">
        <f>IF(Components!V113&gt;0,PPMT(EarningsRate,1,Components!$K113,0,-Components!V113*((1+InflationRate)^Components!$K113),0),T113)</f>
        <v>12956.743045368878</v>
      </c>
      <c r="V113" s="11">
        <f>IF(Components!W113&gt;0,PPMT(EarningsRate,1,Components!$K113,0,-Components!W113*((1+InflationRate)^Components!$K113),0),U113)</f>
        <v>12956.743045368878</v>
      </c>
      <c r="W113" s="11">
        <f>IF(Components!X113&gt;0,PPMT(EarningsRate,1,Components!$K113,0,-Components!X113*((1+InflationRate)^Components!$K113),0),V113)</f>
        <v>12956.743045368878</v>
      </c>
      <c r="X113" s="11">
        <f>IF(Components!Y113&gt;0,PPMT(EarningsRate,1,Components!$K113,0,-Components!Y113*((1+InflationRate)^Components!$K113),0),W113)</f>
        <v>12956.743045368878</v>
      </c>
      <c r="Y113" s="11">
        <f>IF(Components!Z113&gt;0,PPMT(EarningsRate,1,Components!$K113,0,-Components!Z113*((1+InflationRate)^Components!$K113),0),X113)</f>
        <v>12956.743045368878</v>
      </c>
      <c r="Z113" s="11">
        <f>IF(Components!AA113&gt;0,PPMT(EarningsRate,1,Components!$K113,0,-Components!AA113*((1+InflationRate)^Components!$K113),0),Y113)</f>
        <v>12956.743045368878</v>
      </c>
      <c r="AA113" s="11">
        <f>IF(Components!AB113&gt;0,PPMT(EarningsRate,1,Components!$K113,0,-Components!AB113*((1+InflationRate)^Components!$K113),0),Z113)</f>
        <v>12956.743045368878</v>
      </c>
      <c r="AB113" s="11">
        <f>IF(Components!AC113&gt;0,PPMT(EarningsRate,1,Components!$K113,0,-Components!AC113*((1+InflationRate)^Components!$K113),0),AA113)</f>
        <v>12956.743045368878</v>
      </c>
      <c r="AC113" s="11">
        <f>IF(Components!AD113&gt;0,PPMT(EarningsRate,1,Components!$K113,0,-Components!AD113*((1+InflationRate)^Components!$K113),0),AB113)</f>
        <v>12956.743045368878</v>
      </c>
      <c r="AD113" s="11">
        <f>IF(Components!AE113&gt;0,PPMT(EarningsRate,1,Components!$K113,0,-Components!AE113*((1+InflationRate)^Components!$K113),0),AC113)</f>
        <v>12956.743045368878</v>
      </c>
      <c r="AE113" s="11">
        <f>IF(Components!AF113&gt;0,PPMT(EarningsRate,1,Components!$K113,0,-Components!AF113*((1+InflationRate)^Components!$K113),0),AD113)</f>
        <v>12956.743045368878</v>
      </c>
      <c r="AF113" s="11">
        <f>IF(Components!AG113&gt;0,PPMT(EarningsRate,1,Components!$K113,0,-Components!AG113*((1+InflationRate)^Components!$K113),0),AE113)</f>
        <v>12956.743045368878</v>
      </c>
      <c r="AG113" s="11">
        <f>IF(Components!AH113&gt;0,PPMT(EarningsRate,1,Components!$K113,0,-Components!AH113*((1+InflationRate)^Components!$K113),0),AF113)</f>
        <v>12956.743045368878</v>
      </c>
      <c r="AH113" s="11">
        <f>IF(Components!AI113&gt;0,PPMT(EarningsRate,1,Components!$K113,0,-Components!AI113*((1+InflationRate)^Components!$K113),0),AG113)</f>
        <v>12956.743045368878</v>
      </c>
      <c r="AI113" s="11">
        <f>IF(Components!AJ113&gt;0,PPMT(EarningsRate,1,Components!$K113,0,-Components!AJ113*((1+InflationRate)^Components!$K113),0),AH113)</f>
        <v>12956.743045368878</v>
      </c>
      <c r="AJ113" s="11">
        <f>IF(Components!AK113&gt;0,PPMT(EarningsRate,1,Components!$K113,0,-Components!AK113*((1+InflationRate)^Components!$K113),0),AI113)</f>
        <v>12956.743045368878</v>
      </c>
      <c r="AK113" s="11">
        <f>IF(Components!AL113&gt;0,PPMT(EarningsRate,1,Components!$K113,0,-Components!AL113*((1+InflationRate)^Components!$K113),0),AJ113)</f>
        <v>12956.743045368878</v>
      </c>
      <c r="AL113" s="11">
        <f>IF(Components!AM113&gt;0,PPMT(EarningsRate,1,Components!$K113,0,-Components!AM113*((1+InflationRate)^Components!$K113),0),AK113)</f>
        <v>12956.743045368878</v>
      </c>
      <c r="AM113" s="11">
        <f>IF(Components!AN113&gt;0,PPMT(EarningsRate,1,Components!$K113,0,-Components!AN113*((1+InflationRate)^Components!$K113),0),AL113)</f>
        <v>12956.743045368878</v>
      </c>
      <c r="AN113" s="11">
        <f>IF(Components!AO113&gt;0,PPMT(EarningsRate,1,Components!$K113,0,-Components!AO113*((1+InflationRate)^Components!$K113),0),AM113)</f>
        <v>12956.743045368878</v>
      </c>
      <c r="AO113" s="11">
        <f>IF(Components!AP113&gt;0,PPMT(EarningsRate,1,Components!$K113,0,-Components!AP113*((1+InflationRate)^Components!$K113),0),AN113)</f>
        <v>12956.743045368878</v>
      </c>
      <c r="AP113" s="214"/>
      <c r="AQ113" s="11">
        <f t="shared" si="2"/>
        <v>368296.89360010542</v>
      </c>
    </row>
    <row r="114" spans="1:43" s="1" customFormat="1">
      <c r="A114" s="220" t="str">
        <f>Components!B114</f>
        <v>Golf Course</v>
      </c>
      <c r="B114" s="220" t="str">
        <f>Components!C114</f>
        <v>Fence, Level Spreader</v>
      </c>
      <c r="C114" s="211"/>
      <c r="D114" s="211"/>
      <c r="E114" s="211"/>
      <c r="F114" s="88"/>
      <c r="G114" s="212"/>
      <c r="H114" s="212"/>
      <c r="I114" s="212"/>
      <c r="J114" s="211"/>
      <c r="K114" s="11">
        <f>IF('FF Balance'!H114&gt;=0,PPMT(EarningsRate,1,Components!K114,0,-'FF Balance'!G114,0),0)</f>
        <v>811.34040761346796</v>
      </c>
      <c r="L114" s="11">
        <f>IF(Components!M114&gt;0,PPMT(EarningsRate,1,Components!$K114,0,-Components!M114*((1+InflationRate)^Components!$K114),0),K114)</f>
        <v>811.34040761346796</v>
      </c>
      <c r="M114" s="11">
        <f>IF(Components!N114&gt;0,PPMT(EarningsRate,1,Components!$K114,0,-Components!N114*((1+InflationRate)^Components!$K114),0),L114)</f>
        <v>811.34040761346796</v>
      </c>
      <c r="N114" s="11">
        <f>IF(Components!O114&gt;0,PPMT(EarningsRate,1,Components!$K114,0,-Components!O114*((1+InflationRate)^Components!$K114),0),M114)</f>
        <v>811.34040761346796</v>
      </c>
      <c r="O114" s="11">
        <f>IF(Components!P114&gt;0,PPMT(EarningsRate,1,Components!$K114,0,-Components!P114*((1+InflationRate)^Components!$K114),0),N114)</f>
        <v>811.34040761346796</v>
      </c>
      <c r="P114" s="11">
        <f>IF(Components!Q114&gt;0,PPMT(EarningsRate,1,Components!$K114,0,-Components!Q114*((1+InflationRate)^Components!$K114),0),O114)</f>
        <v>811.34040761346796</v>
      </c>
      <c r="Q114" s="11">
        <f>IF(Components!R114&gt;0,PPMT(EarningsRate,1,Components!$K114,0,-Components!R114*((1+InflationRate)^Components!$K114),0),P114)</f>
        <v>811.34040761346796</v>
      </c>
      <c r="R114" s="11">
        <f>IF(Components!S114&gt;0,PPMT(EarningsRate,1,Components!$K114,0,-Components!S114*((1+InflationRate)^Components!$K114),0),Q114)</f>
        <v>811.34040761346796</v>
      </c>
      <c r="S114" s="11">
        <f>IF(Components!T114&gt;0,PPMT(EarningsRate,1,Components!$K114,0,-Components!T114*((1+InflationRate)^Components!$K114),0),R114)</f>
        <v>811.34040761346796</v>
      </c>
      <c r="T114" s="11">
        <f>IF(Components!U114&gt;0,PPMT(EarningsRate,1,Components!$K114,0,-Components!U114*((1+InflationRate)^Components!$K114),0),S114)</f>
        <v>811.34040761346796</v>
      </c>
      <c r="U114" s="11">
        <f>IF(Components!V114&gt;0,PPMT(EarningsRate,1,Components!$K114,0,-Components!V114*((1+InflationRate)^Components!$K114),0),T114)</f>
        <v>811.34040761346796</v>
      </c>
      <c r="V114" s="11">
        <f>IF(Components!W114&gt;0,PPMT(EarningsRate,1,Components!$K114,0,-Components!W114*((1+InflationRate)^Components!$K114),0),U114)</f>
        <v>811.34040761346796</v>
      </c>
      <c r="W114" s="11">
        <f>IF(Components!X114&gt;0,PPMT(EarningsRate,1,Components!$K114,0,-Components!X114*((1+InflationRate)^Components!$K114),0),V114)</f>
        <v>811.34040761346796</v>
      </c>
      <c r="X114" s="11">
        <f>IF(Components!Y114&gt;0,PPMT(EarningsRate,1,Components!$K114,0,-Components!Y114*((1+InflationRate)^Components!$K114),0),W114)</f>
        <v>811.34040761346796</v>
      </c>
      <c r="Y114" s="11">
        <f>IF(Components!Z114&gt;0,PPMT(EarningsRate,1,Components!$K114,0,-Components!Z114*((1+InflationRate)^Components!$K114),0),X114)</f>
        <v>811.34040761346796</v>
      </c>
      <c r="Z114" s="11">
        <f>IF(Components!AA114&gt;0,PPMT(EarningsRate,1,Components!$K114,0,-Components!AA114*((1+InflationRate)^Components!$K114),0),Y114)</f>
        <v>811.34040761346796</v>
      </c>
      <c r="AA114" s="11">
        <f>IF(Components!AB114&gt;0,PPMT(EarningsRate,1,Components!$K114,0,-Components!AB114*((1+InflationRate)^Components!$K114),0),Z114)</f>
        <v>811.34040761346796</v>
      </c>
      <c r="AB114" s="11">
        <f>IF(Components!AC114&gt;0,PPMT(EarningsRate,1,Components!$K114,0,-Components!AC114*((1+InflationRate)^Components!$K114),0),AA114)</f>
        <v>811.34040761346796</v>
      </c>
      <c r="AC114" s="11">
        <f>IF(Components!AD114&gt;0,PPMT(EarningsRate,1,Components!$K114,0,-Components!AD114*((1+InflationRate)^Components!$K114),0),AB114)</f>
        <v>811.34040761346796</v>
      </c>
      <c r="AD114" s="11">
        <f>IF(Components!AE114&gt;0,PPMT(EarningsRate,1,Components!$K114,0,-Components!AE114*((1+InflationRate)^Components!$K114),0),AC114)</f>
        <v>811.34040761346796</v>
      </c>
      <c r="AE114" s="11">
        <f>IF(Components!AF114&gt;0,PPMT(EarningsRate,1,Components!$K114,0,-Components!AF114*((1+InflationRate)^Components!$K114),0),AD114)</f>
        <v>811.34040761346796</v>
      </c>
      <c r="AF114" s="11">
        <f>IF(Components!AG114&gt;0,PPMT(EarningsRate,1,Components!$K114,0,-Components!AG114*((1+InflationRate)^Components!$K114),0),AE114)</f>
        <v>811.34040761346796</v>
      </c>
      <c r="AG114" s="11">
        <f>IF(Components!AH114&gt;0,PPMT(EarningsRate,1,Components!$K114,0,-Components!AH114*((1+InflationRate)^Components!$K114),0),AF114)</f>
        <v>811.34040761346796</v>
      </c>
      <c r="AH114" s="11">
        <f>IF(Components!AI114&gt;0,PPMT(EarningsRate,1,Components!$K114,0,-Components!AI114*((1+InflationRate)^Components!$K114),0),AG114)</f>
        <v>811.34040761346796</v>
      </c>
      <c r="AI114" s="11">
        <f>IF(Components!AJ114&gt;0,PPMT(EarningsRate,1,Components!$K114,0,-Components!AJ114*((1+InflationRate)^Components!$K114),0),AH114)</f>
        <v>2277.2651484603457</v>
      </c>
      <c r="AJ114" s="11">
        <f>IF(Components!AK114&gt;0,PPMT(EarningsRate,1,Components!$K114,0,-Components!AK114*((1+InflationRate)^Components!$K114),0),AI114)</f>
        <v>2277.2651484603457</v>
      </c>
      <c r="AK114" s="11">
        <f>IF(Components!AL114&gt;0,PPMT(EarningsRate,1,Components!$K114,0,-Components!AL114*((1+InflationRate)^Components!$K114),0),AJ114)</f>
        <v>2277.2651484603457</v>
      </c>
      <c r="AL114" s="11">
        <f>IF(Components!AM114&gt;0,PPMT(EarningsRate,1,Components!$K114,0,-Components!AM114*((1+InflationRate)^Components!$K114),0),AK114)</f>
        <v>2277.2651484603457</v>
      </c>
      <c r="AM114" s="11">
        <f>IF(Components!AN114&gt;0,PPMT(EarningsRate,1,Components!$K114,0,-Components!AN114*((1+InflationRate)^Components!$K114),0),AL114)</f>
        <v>2277.2651484603457</v>
      </c>
      <c r="AN114" s="11">
        <f>IF(Components!AO114&gt;0,PPMT(EarningsRate,1,Components!$K114,0,-Components!AO114*((1+InflationRate)^Components!$K114),0),AM114)</f>
        <v>2277.2651484603457</v>
      </c>
      <c r="AO114" s="11">
        <f>IF(Components!AP114&gt;0,PPMT(EarningsRate,1,Components!$K114,0,-Components!AP114*((1+InflationRate)^Components!$K114),0),AN114)</f>
        <v>2277.2651484603457</v>
      </c>
      <c r="AP114" s="214"/>
      <c r="AQ114" s="11">
        <f t="shared" si="2"/>
        <v>35413.025921945657</v>
      </c>
    </row>
    <row r="115" spans="1:43" s="1" customFormat="1">
      <c r="A115" s="220" t="str">
        <f>Components!B115</f>
        <v>Golf Course</v>
      </c>
      <c r="B115" s="220" t="str">
        <f>Components!C115</f>
        <v>Golf Course Scoreboard</v>
      </c>
      <c r="C115" s="211"/>
      <c r="D115" s="211"/>
      <c r="E115" s="211"/>
      <c r="F115" s="88"/>
      <c r="G115" s="212"/>
      <c r="H115" s="212"/>
      <c r="I115" s="212"/>
      <c r="J115" s="211"/>
      <c r="K115" s="11">
        <f>IF('FF Balance'!H115&gt;=0,PPMT(EarningsRate,1,Components!K115,0,-'FF Balance'!G115,0),0)</f>
        <v>593.62392260614217</v>
      </c>
      <c r="L115" s="11">
        <f>IF(Components!M115&gt;0,PPMT(EarningsRate,1,Components!$K115,0,-Components!M115*((1+InflationRate)^Components!$K115),0),K115)</f>
        <v>593.62392260614217</v>
      </c>
      <c r="M115" s="11">
        <f>IF(Components!N115&gt;0,PPMT(EarningsRate,1,Components!$K115,0,-Components!N115*((1+InflationRate)^Components!$K115),0),L115)</f>
        <v>593.62392260614217</v>
      </c>
      <c r="N115" s="11">
        <f>IF(Components!O115&gt;0,PPMT(EarningsRate,1,Components!$K115,0,-Components!O115*((1+InflationRate)^Components!$K115),0),M115)</f>
        <v>593.62392260614217</v>
      </c>
      <c r="O115" s="11">
        <f>IF(Components!P115&gt;0,PPMT(EarningsRate,1,Components!$K115,0,-Components!P115*((1+InflationRate)^Components!$K115),0),N115)</f>
        <v>593.62392260614217</v>
      </c>
      <c r="P115" s="11">
        <f>IF(Components!Q115&gt;0,PPMT(EarningsRate,1,Components!$K115,0,-Components!Q115*((1+InflationRate)^Components!$K115),0),O115)</f>
        <v>593.62392260614217</v>
      </c>
      <c r="Q115" s="11">
        <f>IF(Components!R115&gt;0,PPMT(EarningsRate,1,Components!$K115,0,-Components!R115*((1+InflationRate)^Components!$K115),0),P115)</f>
        <v>593.62392260614217</v>
      </c>
      <c r="R115" s="11">
        <f>IF(Components!S115&gt;0,PPMT(EarningsRate,1,Components!$K115,0,-Components!S115*((1+InflationRate)^Components!$K115),0),Q115)</f>
        <v>593.62392260614217</v>
      </c>
      <c r="S115" s="11">
        <f>IF(Components!T115&gt;0,PPMT(EarningsRate,1,Components!$K115,0,-Components!T115*((1+InflationRate)^Components!$K115),0),R115)</f>
        <v>593.62392260614217</v>
      </c>
      <c r="T115" s="11">
        <f>IF(Components!U115&gt;0,PPMT(EarningsRate,1,Components!$K115,0,-Components!U115*((1+InflationRate)^Components!$K115),0),S115)</f>
        <v>593.62392260614217</v>
      </c>
      <c r="U115" s="11">
        <f>IF(Components!V115&gt;0,PPMT(EarningsRate,1,Components!$K115,0,-Components!V115*((1+InflationRate)^Components!$K115),0),T115)</f>
        <v>593.62392260614217</v>
      </c>
      <c r="V115" s="11">
        <f>IF(Components!W115&gt;0,PPMT(EarningsRate,1,Components!$K115,0,-Components!W115*((1+InflationRate)^Components!$K115),0),U115)</f>
        <v>593.62392260614217</v>
      </c>
      <c r="W115" s="11">
        <f>IF(Components!X115&gt;0,PPMT(EarningsRate,1,Components!$K115,0,-Components!X115*((1+InflationRate)^Components!$K115),0),V115)</f>
        <v>593.62392260614217</v>
      </c>
      <c r="X115" s="11">
        <f>IF(Components!Y115&gt;0,PPMT(EarningsRate,1,Components!$K115,0,-Components!Y115*((1+InflationRate)^Components!$K115),0),W115)</f>
        <v>593.62392260614217</v>
      </c>
      <c r="Y115" s="11">
        <f>IF(Components!Z115&gt;0,PPMT(EarningsRate,1,Components!$K115,0,-Components!Z115*((1+InflationRate)^Components!$K115),0),X115)</f>
        <v>1181.1862702886112</v>
      </c>
      <c r="Z115" s="11">
        <f>IF(Components!AA115&gt;0,PPMT(EarningsRate,1,Components!$K115,0,-Components!AA115*((1+InflationRate)^Components!$K115),0),Y115)</f>
        <v>1181.1862702886112</v>
      </c>
      <c r="AA115" s="11">
        <f>IF(Components!AB115&gt;0,PPMT(EarningsRate,1,Components!$K115,0,-Components!AB115*((1+InflationRate)^Components!$K115),0),Z115)</f>
        <v>1181.1862702886112</v>
      </c>
      <c r="AB115" s="11">
        <f>IF(Components!AC115&gt;0,PPMT(EarningsRate,1,Components!$K115,0,-Components!AC115*((1+InflationRate)^Components!$K115),0),AA115)</f>
        <v>1181.1862702886112</v>
      </c>
      <c r="AC115" s="11">
        <f>IF(Components!AD115&gt;0,PPMT(EarningsRate,1,Components!$K115,0,-Components!AD115*((1+InflationRate)^Components!$K115),0),AB115)</f>
        <v>1181.1862702886112</v>
      </c>
      <c r="AD115" s="11">
        <f>IF(Components!AE115&gt;0,PPMT(EarningsRate,1,Components!$K115,0,-Components!AE115*((1+InflationRate)^Components!$K115),0),AC115)</f>
        <v>1181.1862702886112</v>
      </c>
      <c r="AE115" s="11">
        <f>IF(Components!AF115&gt;0,PPMT(EarningsRate,1,Components!$K115,0,-Components!AF115*((1+InflationRate)^Components!$K115),0),AD115)</f>
        <v>1181.1862702886112</v>
      </c>
      <c r="AF115" s="11">
        <f>IF(Components!AG115&gt;0,PPMT(EarningsRate,1,Components!$K115,0,-Components!AG115*((1+InflationRate)^Components!$K115),0),AE115)</f>
        <v>1181.1862702886112</v>
      </c>
      <c r="AG115" s="11">
        <f>IF(Components!AH115&gt;0,PPMT(EarningsRate,1,Components!$K115,0,-Components!AH115*((1+InflationRate)^Components!$K115),0),AF115)</f>
        <v>1181.1862702886112</v>
      </c>
      <c r="AH115" s="11">
        <f>IF(Components!AI115&gt;0,PPMT(EarningsRate,1,Components!$K115,0,-Components!AI115*((1+InflationRate)^Components!$K115),0),AG115)</f>
        <v>1181.1862702886112</v>
      </c>
      <c r="AI115" s="11">
        <f>IF(Components!AJ115&gt;0,PPMT(EarningsRate,1,Components!$K115,0,-Components!AJ115*((1+InflationRate)^Components!$K115),0),AH115)</f>
        <v>1181.1862702886112</v>
      </c>
      <c r="AJ115" s="11">
        <f>IF(Components!AK115&gt;0,PPMT(EarningsRate,1,Components!$K115,0,-Components!AK115*((1+InflationRate)^Components!$K115),0),AI115)</f>
        <v>1181.1862702886112</v>
      </c>
      <c r="AK115" s="11">
        <f>IF(Components!AL115&gt;0,PPMT(EarningsRate,1,Components!$K115,0,-Components!AL115*((1+InflationRate)^Components!$K115),0),AJ115)</f>
        <v>1181.1862702886112</v>
      </c>
      <c r="AL115" s="11">
        <f>IF(Components!AM115&gt;0,PPMT(EarningsRate,1,Components!$K115,0,-Components!AM115*((1+InflationRate)^Components!$K115),0),AK115)</f>
        <v>1181.1862702886112</v>
      </c>
      <c r="AM115" s="11">
        <f>IF(Components!AN115&gt;0,PPMT(EarningsRate,1,Components!$K115,0,-Components!AN115*((1+InflationRate)^Components!$K115),0),AL115)</f>
        <v>1181.1862702886112</v>
      </c>
      <c r="AN115" s="11">
        <f>IF(Components!AO115&gt;0,PPMT(EarningsRate,1,Components!$K115,0,-Components!AO115*((1+InflationRate)^Components!$K115),0),AM115)</f>
        <v>1181.1862702886112</v>
      </c>
      <c r="AO115" s="11">
        <f>IF(Components!AP115&gt;0,PPMT(EarningsRate,1,Components!$K115,0,-Components!AP115*((1+InflationRate)^Components!$K115),0),AN115)</f>
        <v>1181.1862702886112</v>
      </c>
      <c r="AP115" s="214"/>
      <c r="AQ115" s="11">
        <f t="shared" si="2"/>
        <v>28390.901611392375</v>
      </c>
    </row>
    <row r="116" spans="1:43" s="1" customFormat="1">
      <c r="A116" s="220" t="str">
        <f>Components!B116</f>
        <v>Golf Course</v>
      </c>
      <c r="B116" s="220" t="str">
        <f>Components!C116</f>
        <v>Irrigation Design</v>
      </c>
      <c r="C116" s="211"/>
      <c r="D116" s="211"/>
      <c r="E116" s="211"/>
      <c r="F116" s="88"/>
      <c r="G116" s="212"/>
      <c r="H116" s="212"/>
      <c r="I116" s="212"/>
      <c r="J116" s="211"/>
      <c r="K116" s="11">
        <f>IF('FF Balance'!H116&gt;=0,PPMT(EarningsRate,1,Components!K116,0,-'FF Balance'!G116,0),0)</f>
        <v>802.37840884387333</v>
      </c>
      <c r="L116" s="11">
        <f>IF(Components!M116&gt;0,PPMT(EarningsRate,1,Components!$K116,0,-Components!M116*((1+InflationRate)^Components!$K116),0),K116)</f>
        <v>802.37840884387333</v>
      </c>
      <c r="M116" s="11">
        <f>IF(Components!N116&gt;0,PPMT(EarningsRate,1,Components!$K116,0,-Components!N116*((1+InflationRate)^Components!$K116),0),L116)</f>
        <v>802.37840884387333</v>
      </c>
      <c r="N116" s="11">
        <f>IF(Components!O116&gt;0,PPMT(EarningsRate,1,Components!$K116,0,-Components!O116*((1+InflationRate)^Components!$K116),0),M116)</f>
        <v>802.37840884387333</v>
      </c>
      <c r="O116" s="11">
        <f>IF(Components!P116&gt;0,PPMT(EarningsRate,1,Components!$K116,0,-Components!P116*((1+InflationRate)^Components!$K116),0),N116)</f>
        <v>802.37840884387333</v>
      </c>
      <c r="P116" s="11">
        <f>IF(Components!Q116&gt;0,PPMT(EarningsRate,1,Components!$K116,0,-Components!Q116*((1+InflationRate)^Components!$K116),0),O116)</f>
        <v>802.37840884387333</v>
      </c>
      <c r="Q116" s="11">
        <f>IF(Components!R116&gt;0,PPMT(EarningsRate,1,Components!$K116,0,-Components!R116*((1+InflationRate)^Components!$K116),0),P116)</f>
        <v>802.37840884387333</v>
      </c>
      <c r="R116" s="11">
        <f>IF(Components!S116&gt;0,PPMT(EarningsRate,1,Components!$K116,0,-Components!S116*((1+InflationRate)^Components!$K116),0),Q116)</f>
        <v>802.37840884387333</v>
      </c>
      <c r="S116" s="11">
        <f>IF(Components!T116&gt;0,PPMT(EarningsRate,1,Components!$K116,0,-Components!T116*((1+InflationRate)^Components!$K116),0),R116)</f>
        <v>802.37840884387333</v>
      </c>
      <c r="T116" s="11">
        <f>IF(Components!U116&gt;0,PPMT(EarningsRate,1,Components!$K116,0,-Components!U116*((1+InflationRate)^Components!$K116),0),S116)</f>
        <v>802.37840884387333</v>
      </c>
      <c r="U116" s="11">
        <f>IF(Components!V116&gt;0,PPMT(EarningsRate,1,Components!$K116,0,-Components!V116*((1+InflationRate)^Components!$K116),0),T116)</f>
        <v>802.37840884387333</v>
      </c>
      <c r="V116" s="11">
        <f>IF(Components!W116&gt;0,PPMT(EarningsRate,1,Components!$K116,0,-Components!W116*((1+InflationRate)^Components!$K116),0),U116)</f>
        <v>802.37840884387333</v>
      </c>
      <c r="W116" s="11">
        <f>IF(Components!X116&gt;0,PPMT(EarningsRate,1,Components!$K116,0,-Components!X116*((1+InflationRate)^Components!$K116),0),V116)</f>
        <v>802.37840884387333</v>
      </c>
      <c r="X116" s="11">
        <f>IF(Components!Y116&gt;0,PPMT(EarningsRate,1,Components!$K116,0,-Components!Y116*((1+InflationRate)^Components!$K116),0),W116)</f>
        <v>802.37840884387333</v>
      </c>
      <c r="Y116" s="11">
        <f>IF(Components!Z116&gt;0,PPMT(EarningsRate,1,Components!$K116,0,-Components!Z116*((1+InflationRate)^Components!$K116),0),X116)</f>
        <v>802.37840884387333</v>
      </c>
      <c r="Z116" s="11">
        <f>IF(Components!AA116&gt;0,PPMT(EarningsRate,1,Components!$K116,0,-Components!AA116*((1+InflationRate)^Components!$K116),0),Y116)</f>
        <v>802.37840884387333</v>
      </c>
      <c r="AA116" s="11">
        <f>IF(Components!AB116&gt;0,PPMT(EarningsRate,1,Components!$K116,0,-Components!AB116*((1+InflationRate)^Components!$K116),0),Z116)</f>
        <v>1596.5636222029821</v>
      </c>
      <c r="AB116" s="11">
        <f>IF(Components!AC116&gt;0,PPMT(EarningsRate,1,Components!$K116,0,-Components!AC116*((1+InflationRate)^Components!$K116),0),AA116)</f>
        <v>1596.5636222029821</v>
      </c>
      <c r="AC116" s="11">
        <f>IF(Components!AD116&gt;0,PPMT(EarningsRate,1,Components!$K116,0,-Components!AD116*((1+InflationRate)^Components!$K116),0),AB116)</f>
        <v>1596.5636222029821</v>
      </c>
      <c r="AD116" s="11">
        <f>IF(Components!AE116&gt;0,PPMT(EarningsRate,1,Components!$K116,0,-Components!AE116*((1+InflationRate)^Components!$K116),0),AC116)</f>
        <v>1596.5636222029821</v>
      </c>
      <c r="AE116" s="11">
        <f>IF(Components!AF116&gt;0,PPMT(EarningsRate,1,Components!$K116,0,-Components!AF116*((1+InflationRate)^Components!$K116),0),AD116)</f>
        <v>1596.5636222029821</v>
      </c>
      <c r="AF116" s="11">
        <f>IF(Components!AG116&gt;0,PPMT(EarningsRate,1,Components!$K116,0,-Components!AG116*((1+InflationRate)^Components!$K116),0),AE116)</f>
        <v>1596.5636222029821</v>
      </c>
      <c r="AG116" s="11">
        <f>IF(Components!AH116&gt;0,PPMT(EarningsRate,1,Components!$K116,0,-Components!AH116*((1+InflationRate)^Components!$K116),0),AF116)</f>
        <v>1596.5636222029821</v>
      </c>
      <c r="AH116" s="11">
        <f>IF(Components!AI116&gt;0,PPMT(EarningsRate,1,Components!$K116,0,-Components!AI116*((1+InflationRate)^Components!$K116),0),AG116)</f>
        <v>1596.5636222029821</v>
      </c>
      <c r="AI116" s="11">
        <f>IF(Components!AJ116&gt;0,PPMT(EarningsRate,1,Components!$K116,0,-Components!AJ116*((1+InflationRate)^Components!$K116),0),AH116)</f>
        <v>1596.5636222029821</v>
      </c>
      <c r="AJ116" s="11">
        <f>IF(Components!AK116&gt;0,PPMT(EarningsRate,1,Components!$K116,0,-Components!AK116*((1+InflationRate)^Components!$K116),0),AI116)</f>
        <v>1596.5636222029821</v>
      </c>
      <c r="AK116" s="11">
        <f>IF(Components!AL116&gt;0,PPMT(EarningsRate,1,Components!$K116,0,-Components!AL116*((1+InflationRate)^Components!$K116),0),AJ116)</f>
        <v>1596.5636222029821</v>
      </c>
      <c r="AL116" s="11">
        <f>IF(Components!AM116&gt;0,PPMT(EarningsRate,1,Components!$K116,0,-Components!AM116*((1+InflationRate)^Components!$K116),0),AK116)</f>
        <v>1596.5636222029821</v>
      </c>
      <c r="AM116" s="11">
        <f>IF(Components!AN116&gt;0,PPMT(EarningsRate,1,Components!$K116,0,-Components!AN116*((1+InflationRate)^Components!$K116),0),AL116)</f>
        <v>1596.5636222029821</v>
      </c>
      <c r="AN116" s="11">
        <f>IF(Components!AO116&gt;0,PPMT(EarningsRate,1,Components!$K116,0,-Components!AO116*((1+InflationRate)^Components!$K116),0),AM116)</f>
        <v>1596.5636222029821</v>
      </c>
      <c r="AO116" s="11">
        <f>IF(Components!AP116&gt;0,PPMT(EarningsRate,1,Components!$K116,0,-Components!AP116*((1+InflationRate)^Components!$K116),0),AN116)</f>
        <v>1596.5636222029821</v>
      </c>
      <c r="AP116" s="214"/>
      <c r="AQ116" s="11">
        <f t="shared" si="2"/>
        <v>36786.508974546698</v>
      </c>
    </row>
    <row r="117" spans="1:43" s="1" customFormat="1">
      <c r="A117" s="220" t="str">
        <f>Components!B117</f>
        <v>Golf Course</v>
      </c>
      <c r="B117" s="220" t="str">
        <f>Components!C117</f>
        <v>Irrigation Hole 1 &amp; 2</v>
      </c>
      <c r="C117" s="211"/>
      <c r="D117" s="211"/>
      <c r="E117" s="211"/>
      <c r="F117" s="88"/>
      <c r="G117" s="212"/>
      <c r="H117" s="212"/>
      <c r="I117" s="212"/>
      <c r="J117" s="211"/>
      <c r="K117" s="11">
        <f>IF('FF Balance'!H117&gt;=0,PPMT(EarningsRate,1,Components!K117,0,-'FF Balance'!G117,0),0)</f>
        <v>4209.1024156064123</v>
      </c>
      <c r="L117" s="11">
        <f>IF(Components!M117&gt;0,PPMT(EarningsRate,1,Components!$K117,0,-Components!M117*((1+InflationRate)^Components!$K117),0),K117)</f>
        <v>4209.1024156064123</v>
      </c>
      <c r="M117" s="11">
        <f>IF(Components!N117&gt;0,PPMT(EarningsRate,1,Components!$K117,0,-Components!N117*((1+InflationRate)^Components!$K117),0),L117)</f>
        <v>4209.1024156064123</v>
      </c>
      <c r="N117" s="11">
        <f>IF(Components!O117&gt;0,PPMT(EarningsRate,1,Components!$K117,0,-Components!O117*((1+InflationRate)^Components!$K117),0),M117)</f>
        <v>4209.1024156064123</v>
      </c>
      <c r="O117" s="11">
        <f>IF(Components!P117&gt;0,PPMT(EarningsRate,1,Components!$K117,0,-Components!P117*((1+InflationRate)^Components!$K117),0),N117)</f>
        <v>4209.1024156064123</v>
      </c>
      <c r="P117" s="11">
        <f>IF(Components!Q117&gt;0,PPMT(EarningsRate,1,Components!$K117,0,-Components!Q117*((1+InflationRate)^Components!$K117),0),O117)</f>
        <v>4209.1024156064123</v>
      </c>
      <c r="Q117" s="11">
        <f>IF(Components!R117&gt;0,PPMT(EarningsRate,1,Components!$K117,0,-Components!R117*((1+InflationRate)^Components!$K117),0),P117)</f>
        <v>4209.1024156064123</v>
      </c>
      <c r="R117" s="11">
        <f>IF(Components!S117&gt;0,PPMT(EarningsRate,1,Components!$K117,0,-Components!S117*((1+InflationRate)^Components!$K117),0),Q117)</f>
        <v>4209.1024156064123</v>
      </c>
      <c r="S117" s="11">
        <f>IF(Components!T117&gt;0,PPMT(EarningsRate,1,Components!$K117,0,-Components!T117*((1+InflationRate)^Components!$K117),0),R117)</f>
        <v>4209.1024156064123</v>
      </c>
      <c r="T117" s="11">
        <f>IF(Components!U117&gt;0,PPMT(EarningsRate,1,Components!$K117,0,-Components!U117*((1+InflationRate)^Components!$K117),0),S117)</f>
        <v>4209.1024156064123</v>
      </c>
      <c r="U117" s="11">
        <f>IF(Components!V117&gt;0,PPMT(EarningsRate,1,Components!$K117,0,-Components!V117*((1+InflationRate)^Components!$K117),0),T117)</f>
        <v>4209.1024156064123</v>
      </c>
      <c r="V117" s="11">
        <f>IF(Components!W117&gt;0,PPMT(EarningsRate,1,Components!$K117,0,-Components!W117*((1+InflationRate)^Components!$K117),0),U117)</f>
        <v>4209.1024156064123</v>
      </c>
      <c r="W117" s="11">
        <f>IF(Components!X117&gt;0,PPMT(EarningsRate,1,Components!$K117,0,-Components!X117*((1+InflationRate)^Components!$K117),0),V117)</f>
        <v>4209.1024156064123</v>
      </c>
      <c r="X117" s="11">
        <f>IF(Components!Y117&gt;0,PPMT(EarningsRate,1,Components!$K117,0,-Components!Y117*((1+InflationRate)^Components!$K117),0),W117)</f>
        <v>4209.1024156064123</v>
      </c>
      <c r="Y117" s="11">
        <f>IF(Components!Z117&gt;0,PPMT(EarningsRate,1,Components!$K117,0,-Components!Z117*((1+InflationRate)^Components!$K117),0),X117)</f>
        <v>4209.1024156064123</v>
      </c>
      <c r="Z117" s="11">
        <f>IF(Components!AA117&gt;0,PPMT(EarningsRate,1,Components!$K117,0,-Components!AA117*((1+InflationRate)^Components!$K117),0),Y117)</f>
        <v>4209.1024156064123</v>
      </c>
      <c r="AA117" s="11">
        <f>IF(Components!AB117&gt;0,PPMT(EarningsRate,1,Components!$K117,0,-Components!AB117*((1+InflationRate)^Components!$K117),0),Z117)</f>
        <v>16664.929656401138</v>
      </c>
      <c r="AB117" s="11">
        <f>IF(Components!AC117&gt;0,PPMT(EarningsRate,1,Components!$K117,0,-Components!AC117*((1+InflationRate)^Components!$K117),0),AA117)</f>
        <v>16664.929656401138</v>
      </c>
      <c r="AC117" s="11">
        <f>IF(Components!AD117&gt;0,PPMT(EarningsRate,1,Components!$K117,0,-Components!AD117*((1+InflationRate)^Components!$K117),0),AB117)</f>
        <v>16664.929656401138</v>
      </c>
      <c r="AD117" s="11">
        <f>IF(Components!AE117&gt;0,PPMT(EarningsRate,1,Components!$K117,0,-Components!AE117*((1+InflationRate)^Components!$K117),0),AC117)</f>
        <v>16664.929656401138</v>
      </c>
      <c r="AE117" s="11">
        <f>IF(Components!AF117&gt;0,PPMT(EarningsRate,1,Components!$K117,0,-Components!AF117*((1+InflationRate)^Components!$K117),0),AD117)</f>
        <v>16664.929656401138</v>
      </c>
      <c r="AF117" s="11">
        <f>IF(Components!AG117&gt;0,PPMT(EarningsRate,1,Components!$K117,0,-Components!AG117*((1+InflationRate)^Components!$K117),0),AE117)</f>
        <v>16664.929656401138</v>
      </c>
      <c r="AG117" s="11">
        <f>IF(Components!AH117&gt;0,PPMT(EarningsRate,1,Components!$K117,0,-Components!AH117*((1+InflationRate)^Components!$K117),0),AF117)</f>
        <v>16664.929656401138</v>
      </c>
      <c r="AH117" s="11">
        <f>IF(Components!AI117&gt;0,PPMT(EarningsRate,1,Components!$K117,0,-Components!AI117*((1+InflationRate)^Components!$K117),0),AG117)</f>
        <v>16664.929656401138</v>
      </c>
      <c r="AI117" s="11">
        <f>IF(Components!AJ117&gt;0,PPMT(EarningsRate,1,Components!$K117,0,-Components!AJ117*((1+InflationRate)^Components!$K117),0),AH117)</f>
        <v>16664.929656401138</v>
      </c>
      <c r="AJ117" s="11">
        <f>IF(Components!AK117&gt;0,PPMT(EarningsRate,1,Components!$K117,0,-Components!AK117*((1+InflationRate)^Components!$K117),0),AI117)</f>
        <v>16664.929656401138</v>
      </c>
      <c r="AK117" s="11">
        <f>IF(Components!AL117&gt;0,PPMT(EarningsRate,1,Components!$K117,0,-Components!AL117*((1+InflationRate)^Components!$K117),0),AJ117)</f>
        <v>16664.929656401138</v>
      </c>
      <c r="AL117" s="11">
        <f>IF(Components!AM117&gt;0,PPMT(EarningsRate,1,Components!$K117,0,-Components!AM117*((1+InflationRate)^Components!$K117),0),AK117)</f>
        <v>16664.929656401138</v>
      </c>
      <c r="AM117" s="11">
        <f>IF(Components!AN117&gt;0,PPMT(EarningsRate,1,Components!$K117,0,-Components!AN117*((1+InflationRate)^Components!$K117),0),AL117)</f>
        <v>16664.929656401138</v>
      </c>
      <c r="AN117" s="11">
        <f>IF(Components!AO117&gt;0,PPMT(EarningsRate,1,Components!$K117,0,-Components!AO117*((1+InflationRate)^Components!$K117),0),AM117)</f>
        <v>16664.929656401138</v>
      </c>
      <c r="AO117" s="11">
        <f>IF(Components!AP117&gt;0,PPMT(EarningsRate,1,Components!$K117,0,-Components!AP117*((1+InflationRate)^Components!$K117),0),AN117)</f>
        <v>16664.929656401138</v>
      </c>
      <c r="AP117" s="214"/>
      <c r="AQ117" s="11">
        <f t="shared" si="2"/>
        <v>317319.58359571965</v>
      </c>
    </row>
    <row r="118" spans="1:43" s="1" customFormat="1">
      <c r="A118" s="220" t="str">
        <f>Components!B118</f>
        <v>Golf Course</v>
      </c>
      <c r="B118" s="220" t="str">
        <f>Components!C118</f>
        <v>Irrigation Hole 3 &amp; 4</v>
      </c>
      <c r="C118" s="211"/>
      <c r="D118" s="211"/>
      <c r="E118" s="211"/>
      <c r="F118" s="88"/>
      <c r="G118" s="212"/>
      <c r="H118" s="212"/>
      <c r="I118" s="212"/>
      <c r="J118" s="211"/>
      <c r="K118" s="11">
        <f>IF('FF Balance'!H118&gt;=0,PPMT(EarningsRate,1,Components!K118,0,-'FF Balance'!G118,0),0)</f>
        <v>4356.4079592461558</v>
      </c>
      <c r="L118" s="11">
        <f>IF(Components!M118&gt;0,PPMT(EarningsRate,1,Components!$K118,0,-Components!M118*((1+InflationRate)^Components!$K118),0),K118)</f>
        <v>4356.4079592461558</v>
      </c>
      <c r="M118" s="11">
        <f>IF(Components!N118&gt;0,PPMT(EarningsRate,1,Components!$K118,0,-Components!N118*((1+InflationRate)^Components!$K118),0),L118)</f>
        <v>4356.4079592461558</v>
      </c>
      <c r="N118" s="11">
        <f>IF(Components!O118&gt;0,PPMT(EarningsRate,1,Components!$K118,0,-Components!O118*((1+InflationRate)^Components!$K118),0),M118)</f>
        <v>4356.4079592461558</v>
      </c>
      <c r="O118" s="11">
        <f>IF(Components!P118&gt;0,PPMT(EarningsRate,1,Components!$K118,0,-Components!P118*((1+InflationRate)^Components!$K118),0),N118)</f>
        <v>4356.4079592461558</v>
      </c>
      <c r="P118" s="11">
        <f>IF(Components!Q118&gt;0,PPMT(EarningsRate,1,Components!$K118,0,-Components!Q118*((1+InflationRate)^Components!$K118),0),O118)</f>
        <v>4356.4079592461558</v>
      </c>
      <c r="Q118" s="11">
        <f>IF(Components!R118&gt;0,PPMT(EarningsRate,1,Components!$K118,0,-Components!R118*((1+InflationRate)^Components!$K118),0),P118)</f>
        <v>4356.4079592461558</v>
      </c>
      <c r="R118" s="11">
        <f>IF(Components!S118&gt;0,PPMT(EarningsRate,1,Components!$K118,0,-Components!S118*((1+InflationRate)^Components!$K118),0),Q118)</f>
        <v>4356.4079592461558</v>
      </c>
      <c r="S118" s="11">
        <f>IF(Components!T118&gt;0,PPMT(EarningsRate,1,Components!$K118,0,-Components!T118*((1+InflationRate)^Components!$K118),0),R118)</f>
        <v>4356.4079592461558</v>
      </c>
      <c r="T118" s="11">
        <f>IF(Components!U118&gt;0,PPMT(EarningsRate,1,Components!$K118,0,-Components!U118*((1+InflationRate)^Components!$K118),0),S118)</f>
        <v>4356.4079592461558</v>
      </c>
      <c r="U118" s="11">
        <f>IF(Components!V118&gt;0,PPMT(EarningsRate,1,Components!$K118,0,-Components!V118*((1+InflationRate)^Components!$K118),0),T118)</f>
        <v>4356.4079592461558</v>
      </c>
      <c r="V118" s="11">
        <f>IF(Components!W118&gt;0,PPMT(EarningsRate,1,Components!$K118,0,-Components!W118*((1+InflationRate)^Components!$K118),0),U118)</f>
        <v>4356.4079592461558</v>
      </c>
      <c r="W118" s="11">
        <f>IF(Components!X118&gt;0,PPMT(EarningsRate,1,Components!$K118,0,-Components!X118*((1+InflationRate)^Components!$K118),0),V118)</f>
        <v>4356.4079592461558</v>
      </c>
      <c r="X118" s="11">
        <f>IF(Components!Y118&gt;0,PPMT(EarningsRate,1,Components!$K118,0,-Components!Y118*((1+InflationRate)^Components!$K118),0),W118)</f>
        <v>4356.4079592461558</v>
      </c>
      <c r="Y118" s="11">
        <f>IF(Components!Z118&gt;0,PPMT(EarningsRate,1,Components!$K118,0,-Components!Z118*((1+InflationRate)^Components!$K118),0),X118)</f>
        <v>4356.4079592461558</v>
      </c>
      <c r="Z118" s="11">
        <f>IF(Components!AA118&gt;0,PPMT(EarningsRate,1,Components!$K118,0,-Components!AA118*((1+InflationRate)^Components!$K118),0),Y118)</f>
        <v>4356.4079592461558</v>
      </c>
      <c r="AA118" s="11">
        <f>IF(Components!AB118&gt;0,PPMT(EarningsRate,1,Components!$K118,0,-Components!AB118*((1+InflationRate)^Components!$K118),0),Z118)</f>
        <v>4356.4079592461558</v>
      </c>
      <c r="AB118" s="11">
        <f>IF(Components!AC118&gt;0,PPMT(EarningsRate,1,Components!$K118,0,-Components!AC118*((1+InflationRate)^Components!$K118),0),AA118)</f>
        <v>17248.150562039424</v>
      </c>
      <c r="AC118" s="11">
        <f>IF(Components!AD118&gt;0,PPMT(EarningsRate,1,Components!$K118,0,-Components!AD118*((1+InflationRate)^Components!$K118),0),AB118)</f>
        <v>17248.150562039424</v>
      </c>
      <c r="AD118" s="11">
        <f>IF(Components!AE118&gt;0,PPMT(EarningsRate,1,Components!$K118,0,-Components!AE118*((1+InflationRate)^Components!$K118),0),AC118)</f>
        <v>17248.150562039424</v>
      </c>
      <c r="AE118" s="11">
        <f>IF(Components!AF118&gt;0,PPMT(EarningsRate,1,Components!$K118,0,-Components!AF118*((1+InflationRate)^Components!$K118),0),AD118)</f>
        <v>17248.150562039424</v>
      </c>
      <c r="AF118" s="11">
        <f>IF(Components!AG118&gt;0,PPMT(EarningsRate,1,Components!$K118,0,-Components!AG118*((1+InflationRate)^Components!$K118),0),AE118)</f>
        <v>17248.150562039424</v>
      </c>
      <c r="AG118" s="11">
        <f>IF(Components!AH118&gt;0,PPMT(EarningsRate,1,Components!$K118,0,-Components!AH118*((1+InflationRate)^Components!$K118),0),AF118)</f>
        <v>17248.150562039424</v>
      </c>
      <c r="AH118" s="11">
        <f>IF(Components!AI118&gt;0,PPMT(EarningsRate,1,Components!$K118,0,-Components!AI118*((1+InflationRate)^Components!$K118),0),AG118)</f>
        <v>17248.150562039424</v>
      </c>
      <c r="AI118" s="11">
        <f>IF(Components!AJ118&gt;0,PPMT(EarningsRate,1,Components!$K118,0,-Components!AJ118*((1+InflationRate)^Components!$K118),0),AH118)</f>
        <v>17248.150562039424</v>
      </c>
      <c r="AJ118" s="11">
        <f>IF(Components!AK118&gt;0,PPMT(EarningsRate,1,Components!$K118,0,-Components!AK118*((1+InflationRate)^Components!$K118),0),AI118)</f>
        <v>17248.150562039424</v>
      </c>
      <c r="AK118" s="11">
        <f>IF(Components!AL118&gt;0,PPMT(EarningsRate,1,Components!$K118,0,-Components!AL118*((1+InflationRate)^Components!$K118),0),AJ118)</f>
        <v>17248.150562039424</v>
      </c>
      <c r="AL118" s="11">
        <f>IF(Components!AM118&gt;0,PPMT(EarningsRate,1,Components!$K118,0,-Components!AM118*((1+InflationRate)^Components!$K118),0),AK118)</f>
        <v>17248.150562039424</v>
      </c>
      <c r="AM118" s="11">
        <f>IF(Components!AN118&gt;0,PPMT(EarningsRate,1,Components!$K118,0,-Components!AN118*((1+InflationRate)^Components!$K118),0),AL118)</f>
        <v>17248.150562039424</v>
      </c>
      <c r="AN118" s="11">
        <f>IF(Components!AO118&gt;0,PPMT(EarningsRate,1,Components!$K118,0,-Components!AO118*((1+InflationRate)^Components!$K118),0),AM118)</f>
        <v>17248.150562039424</v>
      </c>
      <c r="AO118" s="11">
        <f>IF(Components!AP118&gt;0,PPMT(EarningsRate,1,Components!$K118,0,-Components!AP118*((1+InflationRate)^Components!$K118),0),AN118)</f>
        <v>17248.150562039424</v>
      </c>
      <c r="AP118" s="214"/>
      <c r="AQ118" s="11">
        <f t="shared" si="2"/>
        <v>315533.04327573656</v>
      </c>
    </row>
    <row r="119" spans="1:43" s="1" customFormat="1">
      <c r="A119" s="220" t="str">
        <f>Components!B119</f>
        <v>Golf Course</v>
      </c>
      <c r="B119" s="220" t="str">
        <f>Components!C119</f>
        <v>Irrigation Hole 5 &amp; 6</v>
      </c>
      <c r="C119" s="211"/>
      <c r="D119" s="211"/>
      <c r="E119" s="211"/>
      <c r="F119" s="88"/>
      <c r="G119" s="212"/>
      <c r="H119" s="212"/>
      <c r="I119" s="212"/>
      <c r="J119" s="211"/>
      <c r="K119" s="11">
        <f>IF('FF Balance'!H119&gt;=0,PPMT(EarningsRate,1,Components!K119,0,-'FF Balance'!G119,0),0)</f>
        <v>4508.8974657105691</v>
      </c>
      <c r="L119" s="11">
        <f>IF(Components!M119&gt;0,PPMT(EarningsRate,1,Components!$K119,0,-Components!M119*((1+InflationRate)^Components!$K119),0),K119)</f>
        <v>4508.8974657105691</v>
      </c>
      <c r="M119" s="11">
        <f>IF(Components!N119&gt;0,PPMT(EarningsRate,1,Components!$K119,0,-Components!N119*((1+InflationRate)^Components!$K119),0),L119)</f>
        <v>4508.8974657105691</v>
      </c>
      <c r="N119" s="11">
        <f>IF(Components!O119&gt;0,PPMT(EarningsRate,1,Components!$K119,0,-Components!O119*((1+InflationRate)^Components!$K119),0),M119)</f>
        <v>4508.8974657105691</v>
      </c>
      <c r="O119" s="11">
        <f>IF(Components!P119&gt;0,PPMT(EarningsRate,1,Components!$K119,0,-Components!P119*((1+InflationRate)^Components!$K119),0),N119)</f>
        <v>4508.8974657105691</v>
      </c>
      <c r="P119" s="11">
        <f>IF(Components!Q119&gt;0,PPMT(EarningsRate,1,Components!$K119,0,-Components!Q119*((1+InflationRate)^Components!$K119),0),O119)</f>
        <v>4508.8974657105691</v>
      </c>
      <c r="Q119" s="11">
        <f>IF(Components!R119&gt;0,PPMT(EarningsRate,1,Components!$K119,0,-Components!R119*((1+InflationRate)^Components!$K119),0),P119)</f>
        <v>4508.8974657105691</v>
      </c>
      <c r="R119" s="11">
        <f>IF(Components!S119&gt;0,PPMT(EarningsRate,1,Components!$K119,0,-Components!S119*((1+InflationRate)^Components!$K119),0),Q119)</f>
        <v>4508.8974657105691</v>
      </c>
      <c r="S119" s="11">
        <f>IF(Components!T119&gt;0,PPMT(EarningsRate,1,Components!$K119,0,-Components!T119*((1+InflationRate)^Components!$K119),0),R119)</f>
        <v>4508.8974657105691</v>
      </c>
      <c r="T119" s="11">
        <f>IF(Components!U119&gt;0,PPMT(EarningsRate,1,Components!$K119,0,-Components!U119*((1+InflationRate)^Components!$K119),0),S119)</f>
        <v>4508.8974657105691</v>
      </c>
      <c r="U119" s="11">
        <f>IF(Components!V119&gt;0,PPMT(EarningsRate,1,Components!$K119,0,-Components!V119*((1+InflationRate)^Components!$K119),0),T119)</f>
        <v>4508.8974657105691</v>
      </c>
      <c r="V119" s="11">
        <f>IF(Components!W119&gt;0,PPMT(EarningsRate,1,Components!$K119,0,-Components!W119*((1+InflationRate)^Components!$K119),0),U119)</f>
        <v>4508.8974657105691</v>
      </c>
      <c r="W119" s="11">
        <f>IF(Components!X119&gt;0,PPMT(EarningsRate,1,Components!$K119,0,-Components!X119*((1+InflationRate)^Components!$K119),0),V119)</f>
        <v>4508.8974657105691</v>
      </c>
      <c r="X119" s="11">
        <f>IF(Components!Y119&gt;0,PPMT(EarningsRate,1,Components!$K119,0,-Components!Y119*((1+InflationRate)^Components!$K119),0),W119)</f>
        <v>4508.8974657105691</v>
      </c>
      <c r="Y119" s="11">
        <f>IF(Components!Z119&gt;0,PPMT(EarningsRate,1,Components!$K119,0,-Components!Z119*((1+InflationRate)^Components!$K119),0),X119)</f>
        <v>4508.8974657105691</v>
      </c>
      <c r="Z119" s="11">
        <f>IF(Components!AA119&gt;0,PPMT(EarningsRate,1,Components!$K119,0,-Components!AA119*((1+InflationRate)^Components!$K119),0),Y119)</f>
        <v>4508.8974657105691</v>
      </c>
      <c r="AA119" s="11">
        <f>IF(Components!AB119&gt;0,PPMT(EarningsRate,1,Components!$K119,0,-Components!AB119*((1+InflationRate)^Components!$K119),0),Z119)</f>
        <v>4508.8974657105691</v>
      </c>
      <c r="AB119" s="11">
        <f>IF(Components!AC119&gt;0,PPMT(EarningsRate,1,Components!$K119,0,-Components!AC119*((1+InflationRate)^Components!$K119),0),AA119)</f>
        <v>4508.8974657105691</v>
      </c>
      <c r="AC119" s="11">
        <f>IF(Components!AD119&gt;0,PPMT(EarningsRate,1,Components!$K119,0,-Components!AD119*((1+InflationRate)^Components!$K119),0),AB119)</f>
        <v>17851.896122885475</v>
      </c>
      <c r="AD119" s="11">
        <f>IF(Components!AE119&gt;0,PPMT(EarningsRate,1,Components!$K119,0,-Components!AE119*((1+InflationRate)^Components!$K119),0),AC119)</f>
        <v>17851.896122885475</v>
      </c>
      <c r="AE119" s="11">
        <f>IF(Components!AF119&gt;0,PPMT(EarningsRate,1,Components!$K119,0,-Components!AF119*((1+InflationRate)^Components!$K119),0),AD119)</f>
        <v>17851.896122885475</v>
      </c>
      <c r="AF119" s="11">
        <f>IF(Components!AG119&gt;0,PPMT(EarningsRate,1,Components!$K119,0,-Components!AG119*((1+InflationRate)^Components!$K119),0),AE119)</f>
        <v>17851.896122885475</v>
      </c>
      <c r="AG119" s="11">
        <f>IF(Components!AH119&gt;0,PPMT(EarningsRate,1,Components!$K119,0,-Components!AH119*((1+InflationRate)^Components!$K119),0),AF119)</f>
        <v>17851.896122885475</v>
      </c>
      <c r="AH119" s="11">
        <f>IF(Components!AI119&gt;0,PPMT(EarningsRate,1,Components!$K119,0,-Components!AI119*((1+InflationRate)^Components!$K119),0),AG119)</f>
        <v>17851.896122885475</v>
      </c>
      <c r="AI119" s="11">
        <f>IF(Components!AJ119&gt;0,PPMT(EarningsRate,1,Components!$K119,0,-Components!AJ119*((1+InflationRate)^Components!$K119),0),AH119)</f>
        <v>17851.896122885475</v>
      </c>
      <c r="AJ119" s="11">
        <f>IF(Components!AK119&gt;0,PPMT(EarningsRate,1,Components!$K119,0,-Components!AK119*((1+InflationRate)^Components!$K119),0),AI119)</f>
        <v>17851.896122885475</v>
      </c>
      <c r="AK119" s="11">
        <f>IF(Components!AL119&gt;0,PPMT(EarningsRate,1,Components!$K119,0,-Components!AL119*((1+InflationRate)^Components!$K119),0),AJ119)</f>
        <v>17851.896122885475</v>
      </c>
      <c r="AL119" s="11">
        <f>IF(Components!AM119&gt;0,PPMT(EarningsRate,1,Components!$K119,0,-Components!AM119*((1+InflationRate)^Components!$K119),0),AK119)</f>
        <v>17851.896122885475</v>
      </c>
      <c r="AM119" s="11">
        <f>IF(Components!AN119&gt;0,PPMT(EarningsRate,1,Components!$K119,0,-Components!AN119*((1+InflationRate)^Components!$K119),0),AL119)</f>
        <v>17851.896122885475</v>
      </c>
      <c r="AN119" s="11">
        <f>IF(Components!AO119&gt;0,PPMT(EarningsRate,1,Components!$K119,0,-Components!AO119*((1+InflationRate)^Components!$K119),0),AM119)</f>
        <v>17851.896122885475</v>
      </c>
      <c r="AO119" s="11">
        <f>IF(Components!AP119&gt;0,PPMT(EarningsRate,1,Components!$K119,0,-Components!AP119*((1+InflationRate)^Components!$K119),0),AN119)</f>
        <v>17851.896122885475</v>
      </c>
      <c r="AP119" s="214"/>
      <c r="AQ119" s="11">
        <f t="shared" si="2"/>
        <v>313234.80408030131</v>
      </c>
    </row>
    <row r="120" spans="1:43" s="1" customFormat="1">
      <c r="A120" s="220" t="str">
        <f>Components!B120</f>
        <v>Golf Course</v>
      </c>
      <c r="B120" s="220" t="str">
        <f>Components!C120</f>
        <v>Irrigation Hole 7 &amp; 8</v>
      </c>
      <c r="C120" s="211"/>
      <c r="D120" s="211"/>
      <c r="E120" s="211"/>
      <c r="F120" s="88"/>
      <c r="G120" s="212"/>
      <c r="H120" s="212"/>
      <c r="I120" s="212"/>
      <c r="J120" s="211"/>
      <c r="K120" s="11">
        <f>IF('FF Balance'!H120&gt;=0,PPMT(EarningsRate,1,Components!K120,0,-'FF Balance'!G120,0),0)</f>
        <v>4666.7005340702672</v>
      </c>
      <c r="L120" s="11">
        <f>IF(Components!M120&gt;0,PPMT(EarningsRate,1,Components!$K120,0,-Components!M120*((1+InflationRate)^Components!$K120),0),K120)</f>
        <v>4666.7005340702672</v>
      </c>
      <c r="M120" s="11">
        <f>IF(Components!N120&gt;0,PPMT(EarningsRate,1,Components!$K120,0,-Components!N120*((1+InflationRate)^Components!$K120),0),L120)</f>
        <v>4666.7005340702672</v>
      </c>
      <c r="N120" s="11">
        <f>IF(Components!O120&gt;0,PPMT(EarningsRate,1,Components!$K120,0,-Components!O120*((1+InflationRate)^Components!$K120),0),M120)</f>
        <v>4666.7005340702672</v>
      </c>
      <c r="O120" s="11">
        <f>IF(Components!P120&gt;0,PPMT(EarningsRate,1,Components!$K120,0,-Components!P120*((1+InflationRate)^Components!$K120),0),N120)</f>
        <v>4666.7005340702672</v>
      </c>
      <c r="P120" s="11">
        <f>IF(Components!Q120&gt;0,PPMT(EarningsRate,1,Components!$K120,0,-Components!Q120*((1+InflationRate)^Components!$K120),0),O120)</f>
        <v>4666.7005340702672</v>
      </c>
      <c r="Q120" s="11">
        <f>IF(Components!R120&gt;0,PPMT(EarningsRate,1,Components!$K120,0,-Components!R120*((1+InflationRate)^Components!$K120),0),P120)</f>
        <v>4666.7005340702672</v>
      </c>
      <c r="R120" s="11">
        <f>IF(Components!S120&gt;0,PPMT(EarningsRate,1,Components!$K120,0,-Components!S120*((1+InflationRate)^Components!$K120),0),Q120)</f>
        <v>4666.7005340702672</v>
      </c>
      <c r="S120" s="11">
        <f>IF(Components!T120&gt;0,PPMT(EarningsRate,1,Components!$K120,0,-Components!T120*((1+InflationRate)^Components!$K120),0),R120)</f>
        <v>4666.7005340702672</v>
      </c>
      <c r="T120" s="11">
        <f>IF(Components!U120&gt;0,PPMT(EarningsRate,1,Components!$K120,0,-Components!U120*((1+InflationRate)^Components!$K120),0),S120)</f>
        <v>4666.7005340702672</v>
      </c>
      <c r="U120" s="11">
        <f>IF(Components!V120&gt;0,PPMT(EarningsRate,1,Components!$K120,0,-Components!V120*((1+InflationRate)^Components!$K120),0),T120)</f>
        <v>4666.7005340702672</v>
      </c>
      <c r="V120" s="11">
        <f>IF(Components!W120&gt;0,PPMT(EarningsRate,1,Components!$K120,0,-Components!W120*((1+InflationRate)^Components!$K120),0),U120)</f>
        <v>4666.7005340702672</v>
      </c>
      <c r="W120" s="11">
        <f>IF(Components!X120&gt;0,PPMT(EarningsRate,1,Components!$K120,0,-Components!X120*((1+InflationRate)^Components!$K120),0),V120)</f>
        <v>4666.7005340702672</v>
      </c>
      <c r="X120" s="11">
        <f>IF(Components!Y120&gt;0,PPMT(EarningsRate,1,Components!$K120,0,-Components!Y120*((1+InflationRate)^Components!$K120),0),W120)</f>
        <v>4666.7005340702672</v>
      </c>
      <c r="Y120" s="11">
        <f>IF(Components!Z120&gt;0,PPMT(EarningsRate,1,Components!$K120,0,-Components!Z120*((1+InflationRate)^Components!$K120),0),X120)</f>
        <v>4666.7005340702672</v>
      </c>
      <c r="Z120" s="11">
        <f>IF(Components!AA120&gt;0,PPMT(EarningsRate,1,Components!$K120,0,-Components!AA120*((1+InflationRate)^Components!$K120),0),Y120)</f>
        <v>4666.7005340702672</v>
      </c>
      <c r="AA120" s="11">
        <f>IF(Components!AB120&gt;0,PPMT(EarningsRate,1,Components!$K120,0,-Components!AB120*((1+InflationRate)^Components!$K120),0),Z120)</f>
        <v>4666.7005340702672</v>
      </c>
      <c r="AB120" s="11">
        <f>IF(Components!AC120&gt;0,PPMT(EarningsRate,1,Components!$K120,0,-Components!AC120*((1+InflationRate)^Components!$K120),0),AA120)</f>
        <v>4666.7005340702672</v>
      </c>
      <c r="AC120" s="11">
        <f>IF(Components!AD120&gt;0,PPMT(EarningsRate,1,Components!$K120,0,-Components!AD120*((1+InflationRate)^Components!$K120),0),AB120)</f>
        <v>4666.7005340702672</v>
      </c>
      <c r="AD120" s="11">
        <f>IF(Components!AE120&gt;0,PPMT(EarningsRate,1,Components!$K120,0,-Components!AE120*((1+InflationRate)^Components!$K120),0),AC120)</f>
        <v>18476.679455319492</v>
      </c>
      <c r="AE120" s="11">
        <f>IF(Components!AF120&gt;0,PPMT(EarningsRate,1,Components!$K120,0,-Components!AF120*((1+InflationRate)^Components!$K120),0),AD120)</f>
        <v>18476.679455319492</v>
      </c>
      <c r="AF120" s="11">
        <f>IF(Components!AG120&gt;0,PPMT(EarningsRate,1,Components!$K120,0,-Components!AG120*((1+InflationRate)^Components!$K120),0),AE120)</f>
        <v>18476.679455319492</v>
      </c>
      <c r="AG120" s="11">
        <f>IF(Components!AH120&gt;0,PPMT(EarningsRate,1,Components!$K120,0,-Components!AH120*((1+InflationRate)^Components!$K120),0),AF120)</f>
        <v>18476.679455319492</v>
      </c>
      <c r="AH120" s="11">
        <f>IF(Components!AI120&gt;0,PPMT(EarningsRate,1,Components!$K120,0,-Components!AI120*((1+InflationRate)^Components!$K120),0),AG120)</f>
        <v>18476.679455319492</v>
      </c>
      <c r="AI120" s="11">
        <f>IF(Components!AJ120&gt;0,PPMT(EarningsRate,1,Components!$K120,0,-Components!AJ120*((1+InflationRate)^Components!$K120),0),AH120)</f>
        <v>18476.679455319492</v>
      </c>
      <c r="AJ120" s="11">
        <f>IF(Components!AK120&gt;0,PPMT(EarningsRate,1,Components!$K120,0,-Components!AK120*((1+InflationRate)^Components!$K120),0),AI120)</f>
        <v>18476.679455319492</v>
      </c>
      <c r="AK120" s="11">
        <f>IF(Components!AL120&gt;0,PPMT(EarningsRate,1,Components!$K120,0,-Components!AL120*((1+InflationRate)^Components!$K120),0),AJ120)</f>
        <v>18476.679455319492</v>
      </c>
      <c r="AL120" s="11">
        <f>IF(Components!AM120&gt;0,PPMT(EarningsRate,1,Components!$K120,0,-Components!AM120*((1+InflationRate)^Components!$K120),0),AK120)</f>
        <v>18476.679455319492</v>
      </c>
      <c r="AM120" s="11">
        <f>IF(Components!AN120&gt;0,PPMT(EarningsRate,1,Components!$K120,0,-Components!AN120*((1+InflationRate)^Components!$K120),0),AL120)</f>
        <v>18476.679455319492</v>
      </c>
      <c r="AN120" s="11">
        <f>IF(Components!AO120&gt;0,PPMT(EarningsRate,1,Components!$K120,0,-Components!AO120*((1+InflationRate)^Components!$K120),0),AM120)</f>
        <v>18476.679455319492</v>
      </c>
      <c r="AO120" s="11">
        <f>IF(Components!AP120&gt;0,PPMT(EarningsRate,1,Components!$K120,0,-Components!AP120*((1+InflationRate)^Components!$K120),0),AN120)</f>
        <v>18476.679455319492</v>
      </c>
      <c r="AP120" s="214"/>
      <c r="AQ120" s="11">
        <f t="shared" si="2"/>
        <v>310387.46371116885</v>
      </c>
    </row>
    <row r="121" spans="1:43" s="1" customFormat="1">
      <c r="A121" s="220" t="str">
        <f>Components!B121</f>
        <v>Golf Course</v>
      </c>
      <c r="B121" s="220" t="str">
        <f>Components!C121</f>
        <v>Irrigation Hole 9 &amp; North Lake</v>
      </c>
      <c r="C121" s="211"/>
      <c r="D121" s="211"/>
      <c r="E121" s="211"/>
      <c r="F121" s="88"/>
      <c r="G121" s="212"/>
      <c r="H121" s="212"/>
      <c r="I121" s="212"/>
      <c r="J121" s="211"/>
      <c r="K121" s="11">
        <f>IF('FF Balance'!H121&gt;=0,PPMT(EarningsRate,1,Components!K121,0,-'FF Balance'!G121,0),0)</f>
        <v>4830.0277628150052</v>
      </c>
      <c r="L121" s="11">
        <f>IF(Components!M121&gt;0,PPMT(EarningsRate,1,Components!$K121,0,-Components!M121*((1+InflationRate)^Components!$K121),0),K121)</f>
        <v>4830.0277628150052</v>
      </c>
      <c r="M121" s="11">
        <f>IF(Components!N121&gt;0,PPMT(EarningsRate,1,Components!$K121,0,-Components!N121*((1+InflationRate)^Components!$K121),0),L121)</f>
        <v>4830.0277628150052</v>
      </c>
      <c r="N121" s="11">
        <f>IF(Components!O121&gt;0,PPMT(EarningsRate,1,Components!$K121,0,-Components!O121*((1+InflationRate)^Components!$K121),0),M121)</f>
        <v>4830.0277628150052</v>
      </c>
      <c r="O121" s="11">
        <f>IF(Components!P121&gt;0,PPMT(EarningsRate,1,Components!$K121,0,-Components!P121*((1+InflationRate)^Components!$K121),0),N121)</f>
        <v>4830.0277628150052</v>
      </c>
      <c r="P121" s="11">
        <f>IF(Components!Q121&gt;0,PPMT(EarningsRate,1,Components!$K121,0,-Components!Q121*((1+InflationRate)^Components!$K121),0),O121)</f>
        <v>4830.0277628150052</v>
      </c>
      <c r="Q121" s="11">
        <f>IF(Components!R121&gt;0,PPMT(EarningsRate,1,Components!$K121,0,-Components!R121*((1+InflationRate)^Components!$K121),0),P121)</f>
        <v>4830.0277628150052</v>
      </c>
      <c r="R121" s="11">
        <f>IF(Components!S121&gt;0,PPMT(EarningsRate,1,Components!$K121,0,-Components!S121*((1+InflationRate)^Components!$K121),0),Q121)</f>
        <v>4830.0277628150052</v>
      </c>
      <c r="S121" s="11">
        <f>IF(Components!T121&gt;0,PPMT(EarningsRate,1,Components!$K121,0,-Components!T121*((1+InflationRate)^Components!$K121),0),R121)</f>
        <v>4830.0277628150052</v>
      </c>
      <c r="T121" s="11">
        <f>IF(Components!U121&gt;0,PPMT(EarningsRate,1,Components!$K121,0,-Components!U121*((1+InflationRate)^Components!$K121),0),S121)</f>
        <v>4830.0277628150052</v>
      </c>
      <c r="U121" s="11">
        <f>IF(Components!V121&gt;0,PPMT(EarningsRate,1,Components!$K121,0,-Components!V121*((1+InflationRate)^Components!$K121),0),T121)</f>
        <v>4830.0277628150052</v>
      </c>
      <c r="V121" s="11">
        <f>IF(Components!W121&gt;0,PPMT(EarningsRate,1,Components!$K121,0,-Components!W121*((1+InflationRate)^Components!$K121),0),U121)</f>
        <v>4830.0277628150052</v>
      </c>
      <c r="W121" s="11">
        <f>IF(Components!X121&gt;0,PPMT(EarningsRate,1,Components!$K121,0,-Components!X121*((1+InflationRate)^Components!$K121),0),V121)</f>
        <v>4830.0277628150052</v>
      </c>
      <c r="X121" s="11">
        <f>IF(Components!Y121&gt;0,PPMT(EarningsRate,1,Components!$K121,0,-Components!Y121*((1+InflationRate)^Components!$K121),0),W121)</f>
        <v>4830.0277628150052</v>
      </c>
      <c r="Y121" s="11">
        <f>IF(Components!Z121&gt;0,PPMT(EarningsRate,1,Components!$K121,0,-Components!Z121*((1+InflationRate)^Components!$K121),0),X121)</f>
        <v>4830.0277628150052</v>
      </c>
      <c r="Z121" s="11">
        <f>IF(Components!AA121&gt;0,PPMT(EarningsRate,1,Components!$K121,0,-Components!AA121*((1+InflationRate)^Components!$K121),0),Y121)</f>
        <v>4830.0277628150052</v>
      </c>
      <c r="AA121" s="11">
        <f>IF(Components!AB121&gt;0,PPMT(EarningsRate,1,Components!$K121,0,-Components!AB121*((1+InflationRate)^Components!$K121),0),Z121)</f>
        <v>4830.0277628150052</v>
      </c>
      <c r="AB121" s="11">
        <f>IF(Components!AC121&gt;0,PPMT(EarningsRate,1,Components!$K121,0,-Components!AC121*((1+InflationRate)^Components!$K121),0),AA121)</f>
        <v>4830.0277628150052</v>
      </c>
      <c r="AC121" s="11">
        <f>IF(Components!AD121&gt;0,PPMT(EarningsRate,1,Components!$K121,0,-Components!AD121*((1+InflationRate)^Components!$K121),0),AB121)</f>
        <v>4830.0277628150052</v>
      </c>
      <c r="AD121" s="11">
        <f>IF(Components!AE121&gt;0,PPMT(EarningsRate,1,Components!$K121,0,-Components!AE121*((1+InflationRate)^Components!$K121),0),AC121)</f>
        <v>4830.0277628150052</v>
      </c>
      <c r="AE121" s="11">
        <f>IF(Components!AF121&gt;0,PPMT(EarningsRate,1,Components!$K121,0,-Components!AF121*((1+InflationRate)^Components!$K121),0),AD121)</f>
        <v>19123.334373459289</v>
      </c>
      <c r="AF121" s="11">
        <f>IF(Components!AG121&gt;0,PPMT(EarningsRate,1,Components!$K121,0,-Components!AG121*((1+InflationRate)^Components!$K121),0),AE121)</f>
        <v>19123.334373459289</v>
      </c>
      <c r="AG121" s="11">
        <f>IF(Components!AH121&gt;0,PPMT(EarningsRate,1,Components!$K121,0,-Components!AH121*((1+InflationRate)^Components!$K121),0),AF121)</f>
        <v>19123.334373459289</v>
      </c>
      <c r="AH121" s="11">
        <f>IF(Components!AI121&gt;0,PPMT(EarningsRate,1,Components!$K121,0,-Components!AI121*((1+InflationRate)^Components!$K121),0),AG121)</f>
        <v>19123.334373459289</v>
      </c>
      <c r="AI121" s="11">
        <f>IF(Components!AJ121&gt;0,PPMT(EarningsRate,1,Components!$K121,0,-Components!AJ121*((1+InflationRate)^Components!$K121),0),AH121)</f>
        <v>19123.334373459289</v>
      </c>
      <c r="AJ121" s="11">
        <f>IF(Components!AK121&gt;0,PPMT(EarningsRate,1,Components!$K121,0,-Components!AK121*((1+InflationRate)^Components!$K121),0),AI121)</f>
        <v>19123.334373459289</v>
      </c>
      <c r="AK121" s="11">
        <f>IF(Components!AL121&gt;0,PPMT(EarningsRate,1,Components!$K121,0,-Components!AL121*((1+InflationRate)^Components!$K121),0),AJ121)</f>
        <v>19123.334373459289</v>
      </c>
      <c r="AL121" s="11">
        <f>IF(Components!AM121&gt;0,PPMT(EarningsRate,1,Components!$K121,0,-Components!AM121*((1+InflationRate)^Components!$K121),0),AK121)</f>
        <v>19123.334373459289</v>
      </c>
      <c r="AM121" s="11">
        <f>IF(Components!AN121&gt;0,PPMT(EarningsRate,1,Components!$K121,0,-Components!AN121*((1+InflationRate)^Components!$K121),0),AL121)</f>
        <v>19123.334373459289</v>
      </c>
      <c r="AN121" s="11">
        <f>IF(Components!AO121&gt;0,PPMT(EarningsRate,1,Components!$K121,0,-Components!AO121*((1+InflationRate)^Components!$K121),0),AM121)</f>
        <v>19123.334373459289</v>
      </c>
      <c r="AO121" s="11">
        <f>IF(Components!AP121&gt;0,PPMT(EarningsRate,1,Components!$K121,0,-Components!AP121*((1+InflationRate)^Components!$K121),0),AN121)</f>
        <v>19123.334373459289</v>
      </c>
      <c r="AP121" s="214"/>
      <c r="AQ121" s="11">
        <f t="shared" si="2"/>
        <v>306957.2334643522</v>
      </c>
    </row>
    <row r="122" spans="1:43" s="1" customFormat="1">
      <c r="A122" s="220" t="str">
        <f>Components!B122</f>
        <v>Golf Course</v>
      </c>
      <c r="B122" s="220" t="str">
        <f>Components!C122</f>
        <v>Irrigation Putting Green</v>
      </c>
      <c r="C122" s="211"/>
      <c r="D122" s="211"/>
      <c r="E122" s="211"/>
      <c r="F122" s="88"/>
      <c r="G122" s="212"/>
      <c r="H122" s="212"/>
      <c r="I122" s="212"/>
      <c r="J122" s="211"/>
      <c r="K122" s="11">
        <f>IF('FF Balance'!H122&gt;=0,PPMT(EarningsRate,1,Components!K122,0,-'FF Balance'!G122,0),0)</f>
        <v>537.56913563215676</v>
      </c>
      <c r="L122" s="11">
        <f>IF(Components!M122&gt;0,PPMT(EarningsRate,1,Components!$K122,0,-Components!M122*((1+InflationRate)^Components!$K122),0),K122)</f>
        <v>537.56913563215676</v>
      </c>
      <c r="M122" s="11">
        <f>IF(Components!N122&gt;0,PPMT(EarningsRate,1,Components!$K122,0,-Components!N122*((1+InflationRate)^Components!$K122),0),L122)</f>
        <v>537.56913563215676</v>
      </c>
      <c r="N122" s="11">
        <f>IF(Components!O122&gt;0,PPMT(EarningsRate,1,Components!$K122,0,-Components!O122*((1+InflationRate)^Components!$K122),0),M122)</f>
        <v>537.56913563215676</v>
      </c>
      <c r="O122" s="11">
        <f>IF(Components!P122&gt;0,PPMT(EarningsRate,1,Components!$K122,0,-Components!P122*((1+InflationRate)^Components!$K122),0),N122)</f>
        <v>537.56913563215676</v>
      </c>
      <c r="P122" s="11">
        <f>IF(Components!Q122&gt;0,PPMT(EarningsRate,1,Components!$K122,0,-Components!Q122*((1+InflationRate)^Components!$K122),0),O122)</f>
        <v>537.56913563215676</v>
      </c>
      <c r="Q122" s="11">
        <f>IF(Components!R122&gt;0,PPMT(EarningsRate,1,Components!$K122,0,-Components!R122*((1+InflationRate)^Components!$K122),0),P122)</f>
        <v>537.56913563215676</v>
      </c>
      <c r="R122" s="11">
        <f>IF(Components!S122&gt;0,PPMT(EarningsRate,1,Components!$K122,0,-Components!S122*((1+InflationRate)^Components!$K122),0),Q122)</f>
        <v>537.56913563215676</v>
      </c>
      <c r="S122" s="11">
        <f>IF(Components!T122&gt;0,PPMT(EarningsRate,1,Components!$K122,0,-Components!T122*((1+InflationRate)^Components!$K122),0),R122)</f>
        <v>537.56913563215676</v>
      </c>
      <c r="T122" s="11">
        <f>IF(Components!U122&gt;0,PPMT(EarningsRate,1,Components!$K122,0,-Components!U122*((1+InflationRate)^Components!$K122),0),S122)</f>
        <v>537.56913563215676</v>
      </c>
      <c r="U122" s="11">
        <f>IF(Components!V122&gt;0,PPMT(EarningsRate,1,Components!$K122,0,-Components!V122*((1+InflationRate)^Components!$K122),0),T122)</f>
        <v>537.56913563215676</v>
      </c>
      <c r="V122" s="11">
        <f>IF(Components!W122&gt;0,PPMT(EarningsRate,1,Components!$K122,0,-Components!W122*((1+InflationRate)^Components!$K122),0),U122)</f>
        <v>537.56913563215676</v>
      </c>
      <c r="W122" s="11">
        <f>IF(Components!X122&gt;0,PPMT(EarningsRate,1,Components!$K122,0,-Components!X122*((1+InflationRate)^Components!$K122),0),V122)</f>
        <v>537.56913563215676</v>
      </c>
      <c r="X122" s="11">
        <f>IF(Components!Y122&gt;0,PPMT(EarningsRate,1,Components!$K122,0,-Components!Y122*((1+InflationRate)^Components!$K122),0),W122)</f>
        <v>537.56913563215676</v>
      </c>
      <c r="Y122" s="11">
        <f>IF(Components!Z122&gt;0,PPMT(EarningsRate,1,Components!$K122,0,-Components!Z122*((1+InflationRate)^Components!$K122),0),X122)</f>
        <v>537.56913563215676</v>
      </c>
      <c r="Z122" s="11">
        <f>IF(Components!AA122&gt;0,PPMT(EarningsRate,1,Components!$K122,0,-Components!AA122*((1+InflationRate)^Components!$K122),0),Y122)</f>
        <v>537.56913563215676</v>
      </c>
      <c r="AA122" s="11">
        <f>IF(Components!AB122&gt;0,PPMT(EarningsRate,1,Components!$K122,0,-Components!AB122*((1+InflationRate)^Components!$K122),0),Z122)</f>
        <v>537.56913563215676</v>
      </c>
      <c r="AB122" s="11">
        <f>IF(Components!AC122&gt;0,PPMT(EarningsRate,1,Components!$K122,0,-Components!AC122*((1+InflationRate)^Components!$K122),0),AA122)</f>
        <v>537.56913563215676</v>
      </c>
      <c r="AC122" s="11">
        <f>IF(Components!AD122&gt;0,PPMT(EarningsRate,1,Components!$K122,0,-Components!AD122*((1+InflationRate)^Components!$K122),0),AB122)</f>
        <v>537.56913563215676</v>
      </c>
      <c r="AD122" s="11">
        <f>IF(Components!AE122&gt;0,PPMT(EarningsRate,1,Components!$K122,0,-Components!AE122*((1+InflationRate)^Components!$K122),0),AC122)</f>
        <v>537.56913563215676</v>
      </c>
      <c r="AE122" s="11">
        <f>IF(Components!AF122&gt;0,PPMT(EarningsRate,1,Components!$K122,0,-Components!AF122*((1+InflationRate)^Components!$K122),0),AD122)</f>
        <v>537.56913563215676</v>
      </c>
      <c r="AF122" s="11">
        <f>IF(Components!AG122&gt;0,PPMT(EarningsRate,1,Components!$K122,0,-Components!AG122*((1+InflationRate)^Components!$K122),0),AE122)</f>
        <v>537.56913563215676</v>
      </c>
      <c r="AG122" s="11">
        <f>IF(Components!AH122&gt;0,PPMT(EarningsRate,1,Components!$K122,0,-Components!AH122*((1+InflationRate)^Components!$K122),0),AF122)</f>
        <v>537.56913563215676</v>
      </c>
      <c r="AH122" s="11">
        <f>IF(Components!AI122&gt;0,PPMT(EarningsRate,1,Components!$K122,0,-Components!AI122*((1+InflationRate)^Components!$K122),0),AG122)</f>
        <v>537.56913563215676</v>
      </c>
      <c r="AI122" s="11">
        <f>IF(Components!AJ122&gt;0,PPMT(EarningsRate,1,Components!$K122,0,-Components!AJ122*((1+InflationRate)^Components!$K122),0),AH122)</f>
        <v>537.56913563215676</v>
      </c>
      <c r="AJ122" s="11">
        <f>IF(Components!AK122&gt;0,PPMT(EarningsRate,1,Components!$K122,0,-Components!AK122*((1+InflationRate)^Components!$K122),0),AI122)</f>
        <v>1508.8456657347701</v>
      </c>
      <c r="AK122" s="11">
        <f>IF(Components!AL122&gt;0,PPMT(EarningsRate,1,Components!$K122,0,-Components!AL122*((1+InflationRate)^Components!$K122),0),AJ122)</f>
        <v>1508.8456657347701</v>
      </c>
      <c r="AL122" s="11">
        <f>IF(Components!AM122&gt;0,PPMT(EarningsRate,1,Components!$K122,0,-Components!AM122*((1+InflationRate)^Components!$K122),0),AK122)</f>
        <v>1508.8456657347701</v>
      </c>
      <c r="AM122" s="11">
        <f>IF(Components!AN122&gt;0,PPMT(EarningsRate,1,Components!$K122,0,-Components!AN122*((1+InflationRate)^Components!$K122),0),AL122)</f>
        <v>1508.8456657347701</v>
      </c>
      <c r="AN122" s="11">
        <f>IF(Components!AO122&gt;0,PPMT(EarningsRate,1,Components!$K122,0,-Components!AO122*((1+InflationRate)^Components!$K122),0),AM122)</f>
        <v>1508.8456657347701</v>
      </c>
      <c r="AO122" s="11">
        <f>IF(Components!AP122&gt;0,PPMT(EarningsRate,1,Components!$K122,0,-Components!AP122*((1+InflationRate)^Components!$K122),0),AN122)</f>
        <v>1508.8456657347701</v>
      </c>
      <c r="AP122" s="214"/>
      <c r="AQ122" s="11">
        <f t="shared" si="2"/>
        <v>22492.302485212542</v>
      </c>
    </row>
    <row r="123" spans="1:43" s="1" customFormat="1">
      <c r="A123" s="220" t="str">
        <f>Components!B123</f>
        <v>Golf Course</v>
      </c>
      <c r="B123" s="220" t="str">
        <f>Components!C123</f>
        <v>Lake Aerator Large</v>
      </c>
      <c r="C123" s="211"/>
      <c r="D123" s="211"/>
      <c r="E123" s="211"/>
      <c r="F123" s="88"/>
      <c r="G123" s="212"/>
      <c r="H123" s="212"/>
      <c r="I123" s="212"/>
      <c r="J123" s="211"/>
      <c r="K123" s="11">
        <f>IF('FF Balance'!H123&gt;=0,PPMT(EarningsRate,1,Components!K123,0,-'FF Balance'!G123,0),0)</f>
        <v>760.91499234119249</v>
      </c>
      <c r="L123" s="11">
        <f>IF(Components!M123&gt;0,PPMT(EarningsRate,1,Components!$K123,0,-Components!M123*((1+InflationRate)^Components!$K123),0),K123)</f>
        <v>760.91499234119249</v>
      </c>
      <c r="M123" s="11">
        <f>IF(Components!N123&gt;0,PPMT(EarningsRate,1,Components!$K123,0,-Components!N123*((1+InflationRate)^Components!$K123),0),L123)</f>
        <v>760.91499234119249</v>
      </c>
      <c r="N123" s="11">
        <f>IF(Components!O123&gt;0,PPMT(EarningsRate,1,Components!$K123,0,-Components!O123*((1+InflationRate)^Components!$K123),0),M123)</f>
        <v>760.91499234119249</v>
      </c>
      <c r="O123" s="11">
        <f>IF(Components!P123&gt;0,PPMT(EarningsRate,1,Components!$K123,0,-Components!P123*((1+InflationRate)^Components!$K123),0),N123)</f>
        <v>760.91499234119249</v>
      </c>
      <c r="P123" s="11">
        <f>IF(Components!Q123&gt;0,PPMT(EarningsRate,1,Components!$K123,0,-Components!Q123*((1+InflationRate)^Components!$K123),0),O123)</f>
        <v>760.91499234119249</v>
      </c>
      <c r="Q123" s="11">
        <f>IF(Components!R123&gt;0,PPMT(EarningsRate,1,Components!$K123,0,-Components!R123*((1+InflationRate)^Components!$K123),0),P123)</f>
        <v>760.91499234119249</v>
      </c>
      <c r="R123" s="11">
        <f>IF(Components!S123&gt;0,PPMT(EarningsRate,1,Components!$K123,0,-Components!S123*((1+InflationRate)^Components!$K123),0),Q123)</f>
        <v>1073.3457451345162</v>
      </c>
      <c r="S123" s="11">
        <f>IF(Components!T123&gt;0,PPMT(EarningsRate,1,Components!$K123,0,-Components!T123*((1+InflationRate)^Components!$K123),0),R123)</f>
        <v>1073.3457451345162</v>
      </c>
      <c r="T123" s="11">
        <f>IF(Components!U123&gt;0,PPMT(EarningsRate,1,Components!$K123,0,-Components!U123*((1+InflationRate)^Components!$K123),0),S123)</f>
        <v>1073.3457451345162</v>
      </c>
      <c r="U123" s="11">
        <f>IF(Components!V123&gt;0,PPMT(EarningsRate,1,Components!$K123,0,-Components!V123*((1+InflationRate)^Components!$K123),0),T123)</f>
        <v>1073.3457451345162</v>
      </c>
      <c r="V123" s="11">
        <f>IF(Components!W123&gt;0,PPMT(EarningsRate,1,Components!$K123,0,-Components!W123*((1+InflationRate)^Components!$K123),0),U123)</f>
        <v>1073.3457451345162</v>
      </c>
      <c r="W123" s="11">
        <f>IF(Components!X123&gt;0,PPMT(EarningsRate,1,Components!$K123,0,-Components!X123*((1+InflationRate)^Components!$K123),0),V123)</f>
        <v>1073.3457451345162</v>
      </c>
      <c r="X123" s="11">
        <f>IF(Components!Y123&gt;0,PPMT(EarningsRate,1,Components!$K123,0,-Components!Y123*((1+InflationRate)^Components!$K123),0),W123)</f>
        <v>1073.3457451345162</v>
      </c>
      <c r="Y123" s="11">
        <f>IF(Components!Z123&gt;0,PPMT(EarningsRate,1,Components!$K123,0,-Components!Z123*((1+InflationRate)^Components!$K123),0),X123)</f>
        <v>1073.3457451345162</v>
      </c>
      <c r="Z123" s="11">
        <f>IF(Components!AA123&gt;0,PPMT(EarningsRate,1,Components!$K123,0,-Components!AA123*((1+InflationRate)^Components!$K123),0),Y123)</f>
        <v>1073.3457451345162</v>
      </c>
      <c r="AA123" s="11">
        <f>IF(Components!AB123&gt;0,PPMT(EarningsRate,1,Components!$K123,0,-Components!AB123*((1+InflationRate)^Components!$K123),0),Z123)</f>
        <v>1073.3457451345162</v>
      </c>
      <c r="AB123" s="11">
        <f>IF(Components!AC123&gt;0,PPMT(EarningsRate,1,Components!$K123,0,-Components!AC123*((1+InflationRate)^Components!$K123),0),AA123)</f>
        <v>1513.9689207954716</v>
      </c>
      <c r="AC123" s="11">
        <f>IF(Components!AD123&gt;0,PPMT(EarningsRate,1,Components!$K123,0,-Components!AD123*((1+InflationRate)^Components!$K123),0),AB123)</f>
        <v>1513.9689207954716</v>
      </c>
      <c r="AD123" s="11">
        <f>IF(Components!AE123&gt;0,PPMT(EarningsRate,1,Components!$K123,0,-Components!AE123*((1+InflationRate)^Components!$K123),0),AC123)</f>
        <v>1513.9689207954716</v>
      </c>
      <c r="AE123" s="11">
        <f>IF(Components!AF123&gt;0,PPMT(EarningsRate,1,Components!$K123,0,-Components!AF123*((1+InflationRate)^Components!$K123),0),AD123)</f>
        <v>1513.9689207954716</v>
      </c>
      <c r="AF123" s="11">
        <f>IF(Components!AG123&gt;0,PPMT(EarningsRate,1,Components!$K123,0,-Components!AG123*((1+InflationRate)^Components!$K123),0),AE123)</f>
        <v>1513.9689207954716</v>
      </c>
      <c r="AG123" s="11">
        <f>IF(Components!AH123&gt;0,PPMT(EarningsRate,1,Components!$K123,0,-Components!AH123*((1+InflationRate)^Components!$K123),0),AF123)</f>
        <v>1513.9689207954716</v>
      </c>
      <c r="AH123" s="11">
        <f>IF(Components!AI123&gt;0,PPMT(EarningsRate,1,Components!$K123,0,-Components!AI123*((1+InflationRate)^Components!$K123),0),AG123)</f>
        <v>1513.9689207954716</v>
      </c>
      <c r="AI123" s="11">
        <f>IF(Components!AJ123&gt;0,PPMT(EarningsRate,1,Components!$K123,0,-Components!AJ123*((1+InflationRate)^Components!$K123),0),AH123)</f>
        <v>1513.9689207954716</v>
      </c>
      <c r="AJ123" s="11">
        <f>IF(Components!AK123&gt;0,PPMT(EarningsRate,1,Components!$K123,0,-Components!AK123*((1+InflationRate)^Components!$K123),0),AI123)</f>
        <v>1513.9689207954716</v>
      </c>
      <c r="AK123" s="11">
        <f>IF(Components!AL123&gt;0,PPMT(EarningsRate,1,Components!$K123,0,-Components!AL123*((1+InflationRate)^Components!$K123),0),AJ123)</f>
        <v>1513.9689207954716</v>
      </c>
      <c r="AL123" s="11">
        <f>IF(Components!AM123&gt;0,PPMT(EarningsRate,1,Components!$K123,0,-Components!AM123*((1+InflationRate)^Components!$K123),0),AK123)</f>
        <v>2135.6630871529546</v>
      </c>
      <c r="AM123" s="11">
        <f>IF(Components!AN123&gt;0,PPMT(EarningsRate,1,Components!$K123,0,-Components!AN123*((1+InflationRate)^Components!$K123),0),AL123)</f>
        <v>2135.6630871529546</v>
      </c>
      <c r="AN123" s="11">
        <f>IF(Components!AO123&gt;0,PPMT(EarningsRate,1,Components!$K123,0,-Components!AO123*((1+InflationRate)^Components!$K123),0),AM123)</f>
        <v>2135.6630871529546</v>
      </c>
      <c r="AO123" s="11">
        <f>IF(Components!AP123&gt;0,PPMT(EarningsRate,1,Components!$K123,0,-Components!AP123*((1+InflationRate)^Components!$K123),0),AN123)</f>
        <v>2135.6630871529546</v>
      </c>
      <c r="AP123" s="214"/>
      <c r="AQ123" s="11">
        <f t="shared" si="2"/>
        <v>39742.204054300055</v>
      </c>
    </row>
    <row r="124" spans="1:43" s="1" customFormat="1">
      <c r="A124" s="220" t="str">
        <f>Components!B124</f>
        <v>Golf Course</v>
      </c>
      <c r="B124" s="220" t="str">
        <f>Components!C124</f>
        <v>Lake Aerator North</v>
      </c>
      <c r="C124" s="211"/>
      <c r="D124" s="211"/>
      <c r="E124" s="211"/>
      <c r="F124" s="88"/>
      <c r="G124" s="212"/>
      <c r="H124" s="212"/>
      <c r="I124" s="212"/>
      <c r="J124" s="211"/>
      <c r="K124" s="11">
        <f>IF('FF Balance'!H124&gt;=0,PPMT(EarningsRate,1,Components!K124,0,-'FF Balance'!G124,0),0)</f>
        <v>640.64133226145577</v>
      </c>
      <c r="L124" s="11">
        <f>IF(Components!M124&gt;0,PPMT(EarningsRate,1,Components!$K124,0,-Components!M124*((1+InflationRate)^Components!$K124),0),K124)</f>
        <v>640.64133226145577</v>
      </c>
      <c r="M124" s="11">
        <f>IF(Components!N124&gt;0,PPMT(EarningsRate,1,Components!$K124,0,-Components!N124*((1+InflationRate)^Components!$K124),0),L124)</f>
        <v>903.68786929067335</v>
      </c>
      <c r="N124" s="11">
        <f>IF(Components!O124&gt;0,PPMT(EarningsRate,1,Components!$K124,0,-Components!O124*((1+InflationRate)^Components!$K124),0),M124)</f>
        <v>903.68786929067335</v>
      </c>
      <c r="O124" s="11">
        <f>IF(Components!P124&gt;0,PPMT(EarningsRate,1,Components!$K124,0,-Components!P124*((1+InflationRate)^Components!$K124),0),N124)</f>
        <v>903.68786929067335</v>
      </c>
      <c r="P124" s="11">
        <f>IF(Components!Q124&gt;0,PPMT(EarningsRate,1,Components!$K124,0,-Components!Q124*((1+InflationRate)^Components!$K124),0),O124)</f>
        <v>903.68786929067335</v>
      </c>
      <c r="Q124" s="11">
        <f>IF(Components!R124&gt;0,PPMT(EarningsRate,1,Components!$K124,0,-Components!R124*((1+InflationRate)^Components!$K124),0),P124)</f>
        <v>903.68786929067335</v>
      </c>
      <c r="R124" s="11">
        <f>IF(Components!S124&gt;0,PPMT(EarningsRate,1,Components!$K124,0,-Components!S124*((1+InflationRate)^Components!$K124),0),Q124)</f>
        <v>903.68786929067335</v>
      </c>
      <c r="S124" s="11">
        <f>IF(Components!T124&gt;0,PPMT(EarningsRate,1,Components!$K124,0,-Components!T124*((1+InflationRate)^Components!$K124),0),R124)</f>
        <v>903.68786929067335</v>
      </c>
      <c r="T124" s="11">
        <f>IF(Components!U124&gt;0,PPMT(EarningsRate,1,Components!$K124,0,-Components!U124*((1+InflationRate)^Components!$K124),0),S124)</f>
        <v>903.68786929067335</v>
      </c>
      <c r="U124" s="11">
        <f>IF(Components!V124&gt;0,PPMT(EarningsRate,1,Components!$K124,0,-Components!V124*((1+InflationRate)^Components!$K124),0),T124)</f>
        <v>903.68786929067335</v>
      </c>
      <c r="V124" s="11">
        <f>IF(Components!W124&gt;0,PPMT(EarningsRate,1,Components!$K124,0,-Components!W124*((1+InflationRate)^Components!$K124),0),U124)</f>
        <v>903.68786929067335</v>
      </c>
      <c r="W124" s="11">
        <f>IF(Components!X124&gt;0,PPMT(EarningsRate,1,Components!$K124,0,-Components!X124*((1+InflationRate)^Components!$K124),0),V124)</f>
        <v>1274.6782206256976</v>
      </c>
      <c r="X124" s="11">
        <f>IF(Components!Y124&gt;0,PPMT(EarningsRate,1,Components!$K124,0,-Components!Y124*((1+InflationRate)^Components!$K124),0),W124)</f>
        <v>1274.6782206256976</v>
      </c>
      <c r="Y124" s="11">
        <f>IF(Components!Z124&gt;0,PPMT(EarningsRate,1,Components!$K124,0,-Components!Z124*((1+InflationRate)^Components!$K124),0),X124)</f>
        <v>1274.6782206256976</v>
      </c>
      <c r="Z124" s="11">
        <f>IF(Components!AA124&gt;0,PPMT(EarningsRate,1,Components!$K124,0,-Components!AA124*((1+InflationRate)^Components!$K124),0),Y124)</f>
        <v>1274.6782206256976</v>
      </c>
      <c r="AA124" s="11">
        <f>IF(Components!AB124&gt;0,PPMT(EarningsRate,1,Components!$K124,0,-Components!AB124*((1+InflationRate)^Components!$K124),0),Z124)</f>
        <v>1274.6782206256976</v>
      </c>
      <c r="AB124" s="11">
        <f>IF(Components!AC124&gt;0,PPMT(EarningsRate,1,Components!$K124,0,-Components!AC124*((1+InflationRate)^Components!$K124),0),AA124)</f>
        <v>1274.6782206256976</v>
      </c>
      <c r="AC124" s="11">
        <f>IF(Components!AD124&gt;0,PPMT(EarningsRate,1,Components!$K124,0,-Components!AD124*((1+InflationRate)^Components!$K124),0),AB124)</f>
        <v>1274.6782206256976</v>
      </c>
      <c r="AD124" s="11">
        <f>IF(Components!AE124&gt;0,PPMT(EarningsRate,1,Components!$K124,0,-Components!AE124*((1+InflationRate)^Components!$K124),0),AC124)</f>
        <v>1274.6782206256976</v>
      </c>
      <c r="AE124" s="11">
        <f>IF(Components!AF124&gt;0,PPMT(EarningsRate,1,Components!$K124,0,-Components!AF124*((1+InflationRate)^Components!$K124),0),AD124)</f>
        <v>1274.6782206256976</v>
      </c>
      <c r="AF124" s="11">
        <f>IF(Components!AG124&gt;0,PPMT(EarningsRate,1,Components!$K124,0,-Components!AG124*((1+InflationRate)^Components!$K124),0),AE124)</f>
        <v>1274.6782206256976</v>
      </c>
      <c r="AG124" s="11">
        <f>IF(Components!AH124&gt;0,PPMT(EarningsRate,1,Components!$K124,0,-Components!AH124*((1+InflationRate)^Components!$K124),0),AF124)</f>
        <v>1798.1426569027699</v>
      </c>
      <c r="AH124" s="11">
        <f>IF(Components!AI124&gt;0,PPMT(EarningsRate,1,Components!$K124,0,-Components!AI124*((1+InflationRate)^Components!$K124),0),AG124)</f>
        <v>1798.1426569027699</v>
      </c>
      <c r="AI124" s="11">
        <f>IF(Components!AJ124&gt;0,PPMT(EarningsRate,1,Components!$K124,0,-Components!AJ124*((1+InflationRate)^Components!$K124),0),AH124)</f>
        <v>1798.1426569027699</v>
      </c>
      <c r="AJ124" s="11">
        <f>IF(Components!AK124&gt;0,PPMT(EarningsRate,1,Components!$K124,0,-Components!AK124*((1+InflationRate)^Components!$K124),0),AI124)</f>
        <v>1798.1426569027699</v>
      </c>
      <c r="AK124" s="11">
        <f>IF(Components!AL124&gt;0,PPMT(EarningsRate,1,Components!$K124,0,-Components!AL124*((1+InflationRate)^Components!$K124),0),AJ124)</f>
        <v>1798.1426569027699</v>
      </c>
      <c r="AL124" s="11">
        <f>IF(Components!AM124&gt;0,PPMT(EarningsRate,1,Components!$K124,0,-Components!AM124*((1+InflationRate)^Components!$K124),0),AK124)</f>
        <v>1798.1426569027699</v>
      </c>
      <c r="AM124" s="11">
        <f>IF(Components!AN124&gt;0,PPMT(EarningsRate,1,Components!$K124,0,-Components!AN124*((1+InflationRate)^Components!$K124),0),AL124)</f>
        <v>1798.1426569027699</v>
      </c>
      <c r="AN124" s="11">
        <f>IF(Components!AO124&gt;0,PPMT(EarningsRate,1,Components!$K124,0,-Components!AO124*((1+InflationRate)^Components!$K124),0),AM124)</f>
        <v>1798.1426569027699</v>
      </c>
      <c r="AO124" s="11">
        <f>IF(Components!AP124&gt;0,PPMT(EarningsRate,1,Components!$K124,0,-Components!AP124*((1+InflationRate)^Components!$K124),0),AN124)</f>
        <v>1798.1426569027699</v>
      </c>
      <c r="AP124" s="214"/>
      <c r="AQ124" s="11">
        <f t="shared" si="2"/>
        <v>39248.227575811536</v>
      </c>
    </row>
    <row r="125" spans="1:43" s="1" customFormat="1">
      <c r="A125" s="220" t="str">
        <f>Components!B125</f>
        <v>Golf Course</v>
      </c>
      <c r="B125" s="220" t="str">
        <f>Components!C125</f>
        <v>Lake Fountain Large</v>
      </c>
      <c r="C125" s="211"/>
      <c r="D125" s="211"/>
      <c r="E125" s="211"/>
      <c r="F125" s="88"/>
      <c r="G125" s="212"/>
      <c r="H125" s="212"/>
      <c r="I125" s="212"/>
      <c r="J125" s="211"/>
      <c r="K125" s="11">
        <f>IF('FF Balance'!H125&gt;=0,PPMT(EarningsRate,1,Components!K125,0,-'FF Balance'!G125,0),0)</f>
        <v>1184.6455513976202</v>
      </c>
      <c r="L125" s="11">
        <f>IF(Components!M125&gt;0,PPMT(EarningsRate,1,Components!$K125,0,-Components!M125*((1+InflationRate)^Components!$K125),0),K125)</f>
        <v>1184.6455513976202</v>
      </c>
      <c r="M125" s="11">
        <f>IF(Components!N125&gt;0,PPMT(EarningsRate,1,Components!$K125,0,-Components!N125*((1+InflationRate)^Components!$K125),0),L125)</f>
        <v>1184.6455513976202</v>
      </c>
      <c r="N125" s="11">
        <f>IF(Components!O125&gt;0,PPMT(EarningsRate,1,Components!$K125,0,-Components!O125*((1+InflationRate)^Components!$K125),0),M125)</f>
        <v>1184.6455513976202</v>
      </c>
      <c r="O125" s="11">
        <f>IF(Components!P125&gt;0,PPMT(EarningsRate,1,Components!$K125,0,-Components!P125*((1+InflationRate)^Components!$K125),0),N125)</f>
        <v>1184.6455513976202</v>
      </c>
      <c r="P125" s="11">
        <f>IF(Components!Q125&gt;0,PPMT(EarningsRate,1,Components!$K125,0,-Components!Q125*((1+InflationRate)^Components!$K125),0),O125)</f>
        <v>1184.6455513976202</v>
      </c>
      <c r="Q125" s="11">
        <f>IF(Components!R125&gt;0,PPMT(EarningsRate,1,Components!$K125,0,-Components!R125*((1+InflationRate)^Components!$K125),0),P125)</f>
        <v>1184.6455513976202</v>
      </c>
      <c r="R125" s="11">
        <f>IF(Components!S125&gt;0,PPMT(EarningsRate,1,Components!$K125,0,-Components!S125*((1+InflationRate)^Components!$K125),0),Q125)</f>
        <v>1671.0595465768074</v>
      </c>
      <c r="S125" s="11">
        <f>IF(Components!T125&gt;0,PPMT(EarningsRate,1,Components!$K125,0,-Components!T125*((1+InflationRate)^Components!$K125),0),R125)</f>
        <v>1671.0595465768074</v>
      </c>
      <c r="T125" s="11">
        <f>IF(Components!U125&gt;0,PPMT(EarningsRate,1,Components!$K125,0,-Components!U125*((1+InflationRate)^Components!$K125),0),S125)</f>
        <v>1671.0595465768074</v>
      </c>
      <c r="U125" s="11">
        <f>IF(Components!V125&gt;0,PPMT(EarningsRate,1,Components!$K125,0,-Components!V125*((1+InflationRate)^Components!$K125),0),T125)</f>
        <v>1671.0595465768074</v>
      </c>
      <c r="V125" s="11">
        <f>IF(Components!W125&gt;0,PPMT(EarningsRate,1,Components!$K125,0,-Components!W125*((1+InflationRate)^Components!$K125),0),U125)</f>
        <v>1671.0595465768074</v>
      </c>
      <c r="W125" s="11">
        <f>IF(Components!X125&gt;0,PPMT(EarningsRate,1,Components!$K125,0,-Components!X125*((1+InflationRate)^Components!$K125),0),V125)</f>
        <v>1671.0595465768074</v>
      </c>
      <c r="X125" s="11">
        <f>IF(Components!Y125&gt;0,PPMT(EarningsRate,1,Components!$K125,0,-Components!Y125*((1+InflationRate)^Components!$K125),0),W125)</f>
        <v>1671.0595465768074</v>
      </c>
      <c r="Y125" s="11">
        <f>IF(Components!Z125&gt;0,PPMT(EarningsRate,1,Components!$K125,0,-Components!Z125*((1+InflationRate)^Components!$K125),0),X125)</f>
        <v>1671.0595465768074</v>
      </c>
      <c r="Z125" s="11">
        <f>IF(Components!AA125&gt;0,PPMT(EarningsRate,1,Components!$K125,0,-Components!AA125*((1+InflationRate)^Components!$K125),0),Y125)</f>
        <v>1671.0595465768074</v>
      </c>
      <c r="AA125" s="11">
        <f>IF(Components!AB125&gt;0,PPMT(EarningsRate,1,Components!$K125,0,-Components!AB125*((1+InflationRate)^Components!$K125),0),Z125)</f>
        <v>1671.0595465768074</v>
      </c>
      <c r="AB125" s="11">
        <f>IF(Components!AC125&gt;0,PPMT(EarningsRate,1,Components!$K125,0,-Components!AC125*((1+InflationRate)^Components!$K125),0),AA125)</f>
        <v>2357.1288101932541</v>
      </c>
      <c r="AC125" s="11">
        <f>IF(Components!AD125&gt;0,PPMT(EarningsRate,1,Components!$K125,0,-Components!AD125*((1+InflationRate)^Components!$K125),0),AB125)</f>
        <v>2357.1288101932541</v>
      </c>
      <c r="AD125" s="11">
        <f>IF(Components!AE125&gt;0,PPMT(EarningsRate,1,Components!$K125,0,-Components!AE125*((1+InflationRate)^Components!$K125),0),AC125)</f>
        <v>2357.1288101932541</v>
      </c>
      <c r="AE125" s="11">
        <f>IF(Components!AF125&gt;0,PPMT(EarningsRate,1,Components!$K125,0,-Components!AF125*((1+InflationRate)^Components!$K125),0),AD125)</f>
        <v>2357.1288101932541</v>
      </c>
      <c r="AF125" s="11">
        <f>IF(Components!AG125&gt;0,PPMT(EarningsRate,1,Components!$K125,0,-Components!AG125*((1+InflationRate)^Components!$K125),0),AE125)</f>
        <v>2357.1288101932541</v>
      </c>
      <c r="AG125" s="11">
        <f>IF(Components!AH125&gt;0,PPMT(EarningsRate,1,Components!$K125,0,-Components!AH125*((1+InflationRate)^Components!$K125),0),AF125)</f>
        <v>2357.1288101932541</v>
      </c>
      <c r="AH125" s="11">
        <f>IF(Components!AI125&gt;0,PPMT(EarningsRate,1,Components!$K125,0,-Components!AI125*((1+InflationRate)^Components!$K125),0),AG125)</f>
        <v>2357.1288101932541</v>
      </c>
      <c r="AI125" s="11">
        <f>IF(Components!AJ125&gt;0,PPMT(EarningsRate,1,Components!$K125,0,-Components!AJ125*((1+InflationRate)^Components!$K125),0),AH125)</f>
        <v>2357.1288101932541</v>
      </c>
      <c r="AJ125" s="11">
        <f>IF(Components!AK125&gt;0,PPMT(EarningsRate,1,Components!$K125,0,-Components!AK125*((1+InflationRate)^Components!$K125),0),AI125)</f>
        <v>2357.1288101932541</v>
      </c>
      <c r="AK125" s="11">
        <f>IF(Components!AL125&gt;0,PPMT(EarningsRate,1,Components!$K125,0,-Components!AL125*((1+InflationRate)^Components!$K125),0),AJ125)</f>
        <v>2357.1288101932541</v>
      </c>
      <c r="AL125" s="11">
        <f>IF(Components!AM125&gt;0,PPMT(EarningsRate,1,Components!$K125,0,-Components!AM125*((1+InflationRate)^Components!$K125),0),AK125)</f>
        <v>3324.9353022518198</v>
      </c>
      <c r="AM125" s="11">
        <f>IF(Components!AN125&gt;0,PPMT(EarningsRate,1,Components!$K125,0,-Components!AN125*((1+InflationRate)^Components!$K125),0),AL125)</f>
        <v>3324.9353022518198</v>
      </c>
      <c r="AN125" s="11">
        <f>IF(Components!AO125&gt;0,PPMT(EarningsRate,1,Components!$K125,0,-Components!AO125*((1+InflationRate)^Components!$K125),0),AM125)</f>
        <v>3324.9353022518198</v>
      </c>
      <c r="AO125" s="11">
        <f>IF(Components!AP125&gt;0,PPMT(EarningsRate,1,Components!$K125,0,-Components!AP125*((1+InflationRate)^Components!$K125),0),AN125)</f>
        <v>3324.9353022518198</v>
      </c>
      <c r="AP125" s="214"/>
      <c r="AQ125" s="11">
        <f t="shared" si="2"/>
        <v>61874.143736491205</v>
      </c>
    </row>
    <row r="126" spans="1:43" s="1" customFormat="1">
      <c r="A126" s="220" t="str">
        <f>Components!B126</f>
        <v>Golf Course</v>
      </c>
      <c r="B126" s="220" t="str">
        <f>Components!C126</f>
        <v xml:space="preserve">Lake Fountain North </v>
      </c>
      <c r="C126" s="211"/>
      <c r="D126" s="211"/>
      <c r="E126" s="211"/>
      <c r="F126" s="88"/>
      <c r="G126" s="212"/>
      <c r="H126" s="212"/>
      <c r="I126" s="212"/>
      <c r="J126" s="211"/>
      <c r="K126" s="11">
        <f>IF('FF Balance'!H126&gt;=0,PPMT(EarningsRate,1,Components!K126,0,-'FF Balance'!G126,0),0)</f>
        <v>963.64383737355331</v>
      </c>
      <c r="L126" s="11">
        <f>IF(Components!M126&gt;0,PPMT(EarningsRate,1,Components!$K126,0,-Components!M126*((1+InflationRate)^Components!$K126),0),K126)</f>
        <v>1359.3148026793156</v>
      </c>
      <c r="M126" s="11">
        <f>IF(Components!N126&gt;0,PPMT(EarningsRate,1,Components!$K126,0,-Components!N126*((1+InflationRate)^Components!$K126),0),L126)</f>
        <v>1359.3148026793156</v>
      </c>
      <c r="N126" s="11">
        <f>IF(Components!O126&gt;0,PPMT(EarningsRate,1,Components!$K126,0,-Components!O126*((1+InflationRate)^Components!$K126),0),M126)</f>
        <v>1359.3148026793156</v>
      </c>
      <c r="O126" s="11">
        <f>IF(Components!P126&gt;0,PPMT(EarningsRate,1,Components!$K126,0,-Components!P126*((1+InflationRate)^Components!$K126),0),N126)</f>
        <v>1359.3148026793156</v>
      </c>
      <c r="P126" s="11">
        <f>IF(Components!Q126&gt;0,PPMT(EarningsRate,1,Components!$K126,0,-Components!Q126*((1+InflationRate)^Components!$K126),0),O126)</f>
        <v>1359.3148026793156</v>
      </c>
      <c r="Q126" s="11">
        <f>IF(Components!R126&gt;0,PPMT(EarningsRate,1,Components!$K126,0,-Components!R126*((1+InflationRate)^Components!$K126),0),P126)</f>
        <v>1359.3148026793156</v>
      </c>
      <c r="R126" s="11">
        <f>IF(Components!S126&gt;0,PPMT(EarningsRate,1,Components!$K126,0,-Components!S126*((1+InflationRate)^Components!$K126),0),Q126)</f>
        <v>1359.3148026793156</v>
      </c>
      <c r="S126" s="11">
        <f>IF(Components!T126&gt;0,PPMT(EarningsRate,1,Components!$K126,0,-Components!T126*((1+InflationRate)^Components!$K126),0),R126)</f>
        <v>1359.3148026793156</v>
      </c>
      <c r="T126" s="11">
        <f>IF(Components!U126&gt;0,PPMT(EarningsRate,1,Components!$K126,0,-Components!U126*((1+InflationRate)^Components!$K126),0),S126)</f>
        <v>1359.3148026793156</v>
      </c>
      <c r="U126" s="11">
        <f>IF(Components!V126&gt;0,PPMT(EarningsRate,1,Components!$K126,0,-Components!V126*((1+InflationRate)^Components!$K126),0),T126)</f>
        <v>1359.3148026793156</v>
      </c>
      <c r="V126" s="11">
        <f>IF(Components!W126&gt;0,PPMT(EarningsRate,1,Components!$K126,0,-Components!W126*((1+InflationRate)^Components!$K126),0),U126)</f>
        <v>1917.5315324965857</v>
      </c>
      <c r="W126" s="11">
        <f>IF(Components!X126&gt;0,PPMT(EarningsRate,1,Components!$K126,0,-Components!X126*((1+InflationRate)^Components!$K126),0),V126)</f>
        <v>1917.5315324965857</v>
      </c>
      <c r="X126" s="11">
        <f>IF(Components!Y126&gt;0,PPMT(EarningsRate,1,Components!$K126,0,-Components!Y126*((1+InflationRate)^Components!$K126),0),W126)</f>
        <v>1917.5315324965857</v>
      </c>
      <c r="Y126" s="11">
        <f>IF(Components!Z126&gt;0,PPMT(EarningsRate,1,Components!$K126,0,-Components!Z126*((1+InflationRate)^Components!$K126),0),X126)</f>
        <v>1917.5315324965857</v>
      </c>
      <c r="Z126" s="11">
        <f>IF(Components!AA126&gt;0,PPMT(EarningsRate,1,Components!$K126,0,-Components!AA126*((1+InflationRate)^Components!$K126),0),Y126)</f>
        <v>1917.5315324965857</v>
      </c>
      <c r="AA126" s="11">
        <f>IF(Components!AB126&gt;0,PPMT(EarningsRate,1,Components!$K126,0,-Components!AB126*((1+InflationRate)^Components!$K126),0),Z126)</f>
        <v>1917.5315324965857</v>
      </c>
      <c r="AB126" s="11">
        <f>IF(Components!AC126&gt;0,PPMT(EarningsRate,1,Components!$K126,0,-Components!AC126*((1+InflationRate)^Components!$K126),0),AA126)</f>
        <v>1917.5315324965857</v>
      </c>
      <c r="AC126" s="11">
        <f>IF(Components!AD126&gt;0,PPMT(EarningsRate,1,Components!$K126,0,-Components!AD126*((1+InflationRate)^Components!$K126),0),AB126)</f>
        <v>1917.5315324965857</v>
      </c>
      <c r="AD126" s="11">
        <f>IF(Components!AE126&gt;0,PPMT(EarningsRate,1,Components!$K126,0,-Components!AE126*((1+InflationRate)^Components!$K126),0),AC126)</f>
        <v>1917.5315324965857</v>
      </c>
      <c r="AE126" s="11">
        <f>IF(Components!AF126&gt;0,PPMT(EarningsRate,1,Components!$K126,0,-Components!AF126*((1+InflationRate)^Components!$K126),0),AD126)</f>
        <v>1917.5315324965857</v>
      </c>
      <c r="AF126" s="11">
        <f>IF(Components!AG126&gt;0,PPMT(EarningsRate,1,Components!$K126,0,-Components!AG126*((1+InflationRate)^Components!$K126),0),AE126)</f>
        <v>2704.9082200863018</v>
      </c>
      <c r="AG126" s="11">
        <f>IF(Components!AH126&gt;0,PPMT(EarningsRate,1,Components!$K126,0,-Components!AH126*((1+InflationRate)^Components!$K126),0),AF126)</f>
        <v>2704.9082200863018</v>
      </c>
      <c r="AH126" s="11">
        <f>IF(Components!AI126&gt;0,PPMT(EarningsRate,1,Components!$K126,0,-Components!AI126*((1+InflationRate)^Components!$K126),0),AG126)</f>
        <v>2704.9082200863018</v>
      </c>
      <c r="AI126" s="11">
        <f>IF(Components!AJ126&gt;0,PPMT(EarningsRate,1,Components!$K126,0,-Components!AJ126*((1+InflationRate)^Components!$K126),0),AH126)</f>
        <v>2704.9082200863018</v>
      </c>
      <c r="AJ126" s="11">
        <f>IF(Components!AK126&gt;0,PPMT(EarningsRate,1,Components!$K126,0,-Components!AK126*((1+InflationRate)^Components!$K126),0),AI126)</f>
        <v>2704.9082200863018</v>
      </c>
      <c r="AK126" s="11">
        <f>IF(Components!AL126&gt;0,PPMT(EarningsRate,1,Components!$K126,0,-Components!AL126*((1+InflationRate)^Components!$K126),0),AJ126)</f>
        <v>2704.9082200863018</v>
      </c>
      <c r="AL126" s="11">
        <f>IF(Components!AM126&gt;0,PPMT(EarningsRate,1,Components!$K126,0,-Components!AM126*((1+InflationRate)^Components!$K126),0),AK126)</f>
        <v>2704.9082200863018</v>
      </c>
      <c r="AM126" s="11">
        <f>IF(Components!AN126&gt;0,PPMT(EarningsRate,1,Components!$K126,0,-Components!AN126*((1+InflationRate)^Components!$K126),0),AL126)</f>
        <v>2704.9082200863018</v>
      </c>
      <c r="AN126" s="11">
        <f>IF(Components!AO126&gt;0,PPMT(EarningsRate,1,Components!$K126,0,-Components!AO126*((1+InflationRate)^Components!$K126),0),AM126)</f>
        <v>2704.9082200863018</v>
      </c>
      <c r="AO126" s="11">
        <f>IF(Components!AP126&gt;0,PPMT(EarningsRate,1,Components!$K126,0,-Components!AP126*((1+InflationRate)^Components!$K126),0),AN126)</f>
        <v>2704.9082200863018</v>
      </c>
      <c r="AP126" s="214"/>
      <c r="AQ126" s="11">
        <f t="shared" si="2"/>
        <v>60781.189489995602</v>
      </c>
    </row>
    <row r="127" spans="1:43" s="1" customFormat="1">
      <c r="A127" s="220" t="str">
        <f>Components!B127</f>
        <v>Golf Course</v>
      </c>
      <c r="B127" s="220" t="str">
        <f>Components!C127</f>
        <v>Pond Repairs/Maintenance</v>
      </c>
      <c r="C127" s="211"/>
      <c r="D127" s="211"/>
      <c r="E127" s="211"/>
      <c r="F127" s="88"/>
      <c r="G127" s="212"/>
      <c r="H127" s="212"/>
      <c r="I127" s="212"/>
      <c r="J127" s="211"/>
      <c r="K127" s="11">
        <f>IF('FF Balance'!H127&gt;=0,PPMT(EarningsRate,1,Components!K127,0,-'FF Balance'!G127,0),0)</f>
        <v>6264.1740147441642</v>
      </c>
      <c r="L127" s="11">
        <f>IF(Components!M127&gt;0,PPMT(EarningsRate,1,Components!$K127,0,-Components!M127*((1+InflationRate)^Components!$K127),0),K127)</f>
        <v>6264.1740147441642</v>
      </c>
      <c r="M127" s="11">
        <f>IF(Components!N127&gt;0,PPMT(EarningsRate,1,Components!$K127,0,-Components!N127*((1+InflationRate)^Components!$K127),0),L127)</f>
        <v>6264.1740147441642</v>
      </c>
      <c r="N127" s="11">
        <f>IF(Components!O127&gt;0,PPMT(EarningsRate,1,Components!$K127,0,-Components!O127*((1+InflationRate)^Components!$K127),0),M127)</f>
        <v>17582.244189745699</v>
      </c>
      <c r="O127" s="11">
        <f>IF(Components!P127&gt;0,PPMT(EarningsRate,1,Components!$K127,0,-Components!P127*((1+InflationRate)^Components!$K127),0),N127)</f>
        <v>17582.244189745699</v>
      </c>
      <c r="P127" s="11">
        <f>IF(Components!Q127&gt;0,PPMT(EarningsRate,1,Components!$K127,0,-Components!Q127*((1+InflationRate)^Components!$K127),0),O127)</f>
        <v>17582.244189745699</v>
      </c>
      <c r="Q127" s="11">
        <f>IF(Components!R127&gt;0,PPMT(EarningsRate,1,Components!$K127,0,-Components!R127*((1+InflationRate)^Components!$K127),0),P127)</f>
        <v>17582.244189745699</v>
      </c>
      <c r="R127" s="11">
        <f>IF(Components!S127&gt;0,PPMT(EarningsRate,1,Components!$K127,0,-Components!S127*((1+InflationRate)^Components!$K127),0),Q127)</f>
        <v>17582.244189745699</v>
      </c>
      <c r="S127" s="11">
        <f>IF(Components!T127&gt;0,PPMT(EarningsRate,1,Components!$K127,0,-Components!T127*((1+InflationRate)^Components!$K127),0),R127)</f>
        <v>17582.244189745699</v>
      </c>
      <c r="T127" s="11">
        <f>IF(Components!U127&gt;0,PPMT(EarningsRate,1,Components!$K127,0,-Components!U127*((1+InflationRate)^Components!$K127),0),S127)</f>
        <v>17582.244189745699</v>
      </c>
      <c r="U127" s="11">
        <f>IF(Components!V127&gt;0,PPMT(EarningsRate,1,Components!$K127,0,-Components!V127*((1+InflationRate)^Components!$K127),0),T127)</f>
        <v>17582.244189745699</v>
      </c>
      <c r="V127" s="11">
        <f>IF(Components!W127&gt;0,PPMT(EarningsRate,1,Components!$K127,0,-Components!W127*((1+InflationRate)^Components!$K127),0),U127)</f>
        <v>17582.244189745699</v>
      </c>
      <c r="W127" s="11">
        <f>IF(Components!X127&gt;0,PPMT(EarningsRate,1,Components!$K127,0,-Components!X127*((1+InflationRate)^Components!$K127),0),V127)</f>
        <v>17582.244189745699</v>
      </c>
      <c r="X127" s="11">
        <f>IF(Components!Y127&gt;0,PPMT(EarningsRate,1,Components!$K127,0,-Components!Y127*((1+InflationRate)^Components!$K127),0),W127)</f>
        <v>17582.244189745699</v>
      </c>
      <c r="Y127" s="11">
        <f>IF(Components!Z127&gt;0,PPMT(EarningsRate,1,Components!$K127,0,-Components!Z127*((1+InflationRate)^Components!$K127),0),X127)</f>
        <v>17582.244189745699</v>
      </c>
      <c r="Z127" s="11">
        <f>IF(Components!AA127&gt;0,PPMT(EarningsRate,1,Components!$K127,0,-Components!AA127*((1+InflationRate)^Components!$K127),0),Y127)</f>
        <v>17582.244189745699</v>
      </c>
      <c r="AA127" s="11">
        <f>IF(Components!AB127&gt;0,PPMT(EarningsRate,1,Components!$K127,0,-Components!AB127*((1+InflationRate)^Components!$K127),0),Z127)</f>
        <v>17582.244189745699</v>
      </c>
      <c r="AB127" s="11">
        <f>IF(Components!AC127&gt;0,PPMT(EarningsRate,1,Components!$K127,0,-Components!AC127*((1+InflationRate)^Components!$K127),0),AA127)</f>
        <v>17582.244189745699</v>
      </c>
      <c r="AC127" s="11">
        <f>IF(Components!AD127&gt;0,PPMT(EarningsRate,1,Components!$K127,0,-Components!AD127*((1+InflationRate)^Components!$K127),0),AB127)</f>
        <v>17582.244189745699</v>
      </c>
      <c r="AD127" s="11">
        <f>IF(Components!AE127&gt;0,PPMT(EarningsRate,1,Components!$K127,0,-Components!AE127*((1+InflationRate)^Components!$K127),0),AC127)</f>
        <v>17582.244189745699</v>
      </c>
      <c r="AE127" s="11">
        <f>IF(Components!AF127&gt;0,PPMT(EarningsRate,1,Components!$K127,0,-Components!AF127*((1+InflationRate)^Components!$K127),0),AD127)</f>
        <v>17582.244189745699</v>
      </c>
      <c r="AF127" s="11">
        <f>IF(Components!AG127&gt;0,PPMT(EarningsRate,1,Components!$K127,0,-Components!AG127*((1+InflationRate)^Components!$K127),0),AE127)</f>
        <v>17582.244189745699</v>
      </c>
      <c r="AG127" s="11">
        <f>IF(Components!AH127&gt;0,PPMT(EarningsRate,1,Components!$K127,0,-Components!AH127*((1+InflationRate)^Components!$K127),0),AF127)</f>
        <v>17582.244189745699</v>
      </c>
      <c r="AH127" s="11">
        <f>IF(Components!AI127&gt;0,PPMT(EarningsRate,1,Components!$K127,0,-Components!AI127*((1+InflationRate)^Components!$K127),0),AG127)</f>
        <v>17582.244189745699</v>
      </c>
      <c r="AI127" s="11">
        <f>IF(Components!AJ127&gt;0,PPMT(EarningsRate,1,Components!$K127,0,-Components!AJ127*((1+InflationRate)^Components!$K127),0),AH127)</f>
        <v>17582.244189745699</v>
      </c>
      <c r="AJ127" s="11">
        <f>IF(Components!AK127&gt;0,PPMT(EarningsRate,1,Components!$K127,0,-Components!AK127*((1+InflationRate)^Components!$K127),0),AI127)</f>
        <v>17582.244189745699</v>
      </c>
      <c r="AK127" s="11">
        <f>IF(Components!AL127&gt;0,PPMT(EarningsRate,1,Components!$K127,0,-Components!AL127*((1+InflationRate)^Components!$K127),0),AJ127)</f>
        <v>17582.244189745699</v>
      </c>
      <c r="AL127" s="11">
        <f>IF(Components!AM127&gt;0,PPMT(EarningsRate,1,Components!$K127,0,-Components!AM127*((1+InflationRate)^Components!$K127),0),AK127)</f>
        <v>17582.244189745699</v>
      </c>
      <c r="AM127" s="11">
        <f>IF(Components!AN127&gt;0,PPMT(EarningsRate,1,Components!$K127,0,-Components!AN127*((1+InflationRate)^Components!$K127),0),AL127)</f>
        <v>17582.244189745699</v>
      </c>
      <c r="AN127" s="11">
        <f>IF(Components!AO127&gt;0,PPMT(EarningsRate,1,Components!$K127,0,-Components!AO127*((1+InflationRate)^Components!$K127),0),AM127)</f>
        <v>17582.244189745699</v>
      </c>
      <c r="AO127" s="11">
        <f>IF(Components!AP127&gt;0,PPMT(EarningsRate,1,Components!$K127,0,-Components!AP127*((1+InflationRate)^Components!$K127),0),AN127)</f>
        <v>17582.244189745699</v>
      </c>
      <c r="AP127" s="214"/>
      <c r="AQ127" s="11">
        <f t="shared" si="2"/>
        <v>511095.35945711186</v>
      </c>
    </row>
    <row r="128" spans="1:43" s="1" customFormat="1">
      <c r="A128" s="220" t="str">
        <f>Components!B128</f>
        <v>Golf Course</v>
      </c>
      <c r="B128" s="220" t="str">
        <f>Components!C128</f>
        <v>Pump House Roof TPO</v>
      </c>
      <c r="C128" s="211"/>
      <c r="D128" s="211"/>
      <c r="E128" s="211"/>
      <c r="F128" s="88"/>
      <c r="G128" s="212"/>
      <c r="H128" s="212"/>
      <c r="I128" s="212"/>
      <c r="J128" s="211"/>
      <c r="K128" s="11">
        <f>IF('FF Balance'!H128&gt;=0,PPMT(EarningsRate,1,Components!K128,0,-'FF Balance'!G128,0),0)</f>
        <v>319.02546775070113</v>
      </c>
      <c r="L128" s="11">
        <f>IF(Components!M128&gt;0,PPMT(EarningsRate,1,Components!$K128,0,-Components!M128*((1+InflationRate)^Components!$K128),0),K128)</f>
        <v>753.93533651529071</v>
      </c>
      <c r="M128" s="11">
        <f>IF(Components!N128&gt;0,PPMT(EarningsRate,1,Components!$K128,0,-Components!N128*((1+InflationRate)^Components!$K128),0),L128)</f>
        <v>753.93533651529071</v>
      </c>
      <c r="N128" s="11">
        <f>IF(Components!O128&gt;0,PPMT(EarningsRate,1,Components!$K128,0,-Components!O128*((1+InflationRate)^Components!$K128),0),M128)</f>
        <v>753.93533651529071</v>
      </c>
      <c r="O128" s="11">
        <f>IF(Components!P128&gt;0,PPMT(EarningsRate,1,Components!$K128,0,-Components!P128*((1+InflationRate)^Components!$K128),0),N128)</f>
        <v>753.93533651529071</v>
      </c>
      <c r="P128" s="11">
        <f>IF(Components!Q128&gt;0,PPMT(EarningsRate,1,Components!$K128,0,-Components!Q128*((1+InflationRate)^Components!$K128),0),O128)</f>
        <v>753.93533651529071</v>
      </c>
      <c r="Q128" s="11">
        <f>IF(Components!R128&gt;0,PPMT(EarningsRate,1,Components!$K128,0,-Components!R128*((1+InflationRate)^Components!$K128),0),P128)</f>
        <v>753.93533651529071</v>
      </c>
      <c r="R128" s="11">
        <f>IF(Components!S128&gt;0,PPMT(EarningsRate,1,Components!$K128,0,-Components!S128*((1+InflationRate)^Components!$K128),0),Q128)</f>
        <v>753.93533651529071</v>
      </c>
      <c r="S128" s="11">
        <f>IF(Components!T128&gt;0,PPMT(EarningsRate,1,Components!$K128,0,-Components!T128*((1+InflationRate)^Components!$K128),0),R128)</f>
        <v>753.93533651529071</v>
      </c>
      <c r="T128" s="11">
        <f>IF(Components!U128&gt;0,PPMT(EarningsRate,1,Components!$K128,0,-Components!U128*((1+InflationRate)^Components!$K128),0),S128)</f>
        <v>753.93533651529071</v>
      </c>
      <c r="U128" s="11">
        <f>IF(Components!V128&gt;0,PPMT(EarningsRate,1,Components!$K128,0,-Components!V128*((1+InflationRate)^Components!$K128),0),T128)</f>
        <v>753.93533651529071</v>
      </c>
      <c r="V128" s="11">
        <f>IF(Components!W128&gt;0,PPMT(EarningsRate,1,Components!$K128,0,-Components!W128*((1+InflationRate)^Components!$K128),0),U128)</f>
        <v>753.93533651529071</v>
      </c>
      <c r="W128" s="11">
        <f>IF(Components!X128&gt;0,PPMT(EarningsRate,1,Components!$K128,0,-Components!X128*((1+InflationRate)^Components!$K128),0),V128)</f>
        <v>753.93533651529071</v>
      </c>
      <c r="X128" s="11">
        <f>IF(Components!Y128&gt;0,PPMT(EarningsRate,1,Components!$K128,0,-Components!Y128*((1+InflationRate)^Components!$K128),0),W128)</f>
        <v>753.93533651529071</v>
      </c>
      <c r="Y128" s="11">
        <f>IF(Components!Z128&gt;0,PPMT(EarningsRate,1,Components!$K128,0,-Components!Z128*((1+InflationRate)^Components!$K128),0),X128)</f>
        <v>753.93533651529071</v>
      </c>
      <c r="Z128" s="11">
        <f>IF(Components!AA128&gt;0,PPMT(EarningsRate,1,Components!$K128,0,-Components!AA128*((1+InflationRate)^Components!$K128),0),Y128)</f>
        <v>753.93533651529071</v>
      </c>
      <c r="AA128" s="11">
        <f>IF(Components!AB128&gt;0,PPMT(EarningsRate,1,Components!$K128,0,-Components!AB128*((1+InflationRate)^Components!$K128),0),Z128)</f>
        <v>753.93533651529071</v>
      </c>
      <c r="AB128" s="11">
        <f>IF(Components!AC128&gt;0,PPMT(EarningsRate,1,Components!$K128,0,-Components!AC128*((1+InflationRate)^Components!$K128),0),AA128)</f>
        <v>753.93533651529071</v>
      </c>
      <c r="AC128" s="11">
        <f>IF(Components!AD128&gt;0,PPMT(EarningsRate,1,Components!$K128,0,-Components!AD128*((1+InflationRate)^Components!$K128),0),AB128)</f>
        <v>753.93533651529071</v>
      </c>
      <c r="AD128" s="11">
        <f>IF(Components!AE128&gt;0,PPMT(EarningsRate,1,Components!$K128,0,-Components!AE128*((1+InflationRate)^Components!$K128),0),AC128)</f>
        <v>753.93533651529071</v>
      </c>
      <c r="AE128" s="11">
        <f>IF(Components!AF128&gt;0,PPMT(EarningsRate,1,Components!$K128,0,-Components!AF128*((1+InflationRate)^Components!$K128),0),AD128)</f>
        <v>753.93533651529071</v>
      </c>
      <c r="AF128" s="11">
        <f>IF(Components!AG128&gt;0,PPMT(EarningsRate,1,Components!$K128,0,-Components!AG128*((1+InflationRate)^Components!$K128),0),AE128)</f>
        <v>753.93533651529071</v>
      </c>
      <c r="AG128" s="11">
        <f>IF(Components!AH128&gt;0,PPMT(EarningsRate,1,Components!$K128,0,-Components!AH128*((1+InflationRate)^Components!$K128),0),AF128)</f>
        <v>753.93533651529071</v>
      </c>
      <c r="AH128" s="11">
        <f>IF(Components!AI128&gt;0,PPMT(EarningsRate,1,Components!$K128,0,-Components!AI128*((1+InflationRate)^Components!$K128),0),AG128)</f>
        <v>753.93533651529071</v>
      </c>
      <c r="AI128" s="11">
        <f>IF(Components!AJ128&gt;0,PPMT(EarningsRate,1,Components!$K128,0,-Components!AJ128*((1+InflationRate)^Components!$K128),0),AH128)</f>
        <v>753.93533651529071</v>
      </c>
      <c r="AJ128" s="11">
        <f>IF(Components!AK128&gt;0,PPMT(EarningsRate,1,Components!$K128,0,-Components!AK128*((1+InflationRate)^Components!$K128),0),AI128)</f>
        <v>753.93533651529071</v>
      </c>
      <c r="AK128" s="11">
        <f>IF(Components!AL128&gt;0,PPMT(EarningsRate,1,Components!$K128,0,-Components!AL128*((1+InflationRate)^Components!$K128),0),AJ128)</f>
        <v>1781.7640899675368</v>
      </c>
      <c r="AL128" s="11">
        <f>IF(Components!AM128&gt;0,PPMT(EarningsRate,1,Components!$K128,0,-Components!AM128*((1+InflationRate)^Components!$K128),0),AK128)</f>
        <v>1781.7640899675368</v>
      </c>
      <c r="AM128" s="11">
        <f>IF(Components!AN128&gt;0,PPMT(EarningsRate,1,Components!$K128,0,-Components!AN128*((1+InflationRate)^Components!$K128),0),AL128)</f>
        <v>1781.7640899675368</v>
      </c>
      <c r="AN128" s="11">
        <f>IF(Components!AO128&gt;0,PPMT(EarningsRate,1,Components!$K128,0,-Components!AO128*((1+InflationRate)^Components!$K128),0),AM128)</f>
        <v>1781.7640899675368</v>
      </c>
      <c r="AO128" s="11">
        <f>IF(Components!AP128&gt;0,PPMT(EarningsRate,1,Components!$K128,0,-Components!AP128*((1+InflationRate)^Components!$K128),0),AN128)</f>
        <v>1781.7640899675368</v>
      </c>
      <c r="AP128" s="214"/>
      <c r="AQ128" s="11">
        <f t="shared" si="2"/>
        <v>28076.229430470645</v>
      </c>
    </row>
    <row r="129" spans="1:43" s="1" customFormat="1">
      <c r="A129" s="220" t="str">
        <f>Components!B129</f>
        <v>Golf Course</v>
      </c>
      <c r="B129" s="220" t="str">
        <f>Components!C129</f>
        <v>Update Field Controls</v>
      </c>
      <c r="C129" s="211"/>
      <c r="D129" s="211"/>
      <c r="E129" s="211"/>
      <c r="F129" s="88"/>
      <c r="G129" s="212"/>
      <c r="H129" s="212"/>
      <c r="I129" s="212"/>
      <c r="J129" s="211"/>
      <c r="K129" s="11">
        <f>IF('FF Balance'!H129&gt;=0,PPMT(EarningsRate,1,Components!K129,0,-'FF Balance'!G129,0),0)</f>
        <v>1540.5372060713764</v>
      </c>
      <c r="L129" s="11">
        <f>IF(Components!M129&gt;0,PPMT(EarningsRate,1,Components!$K129,0,-Components!M129*((1+InflationRate)^Components!$K129),0),K129)</f>
        <v>1540.5372060713764</v>
      </c>
      <c r="M129" s="11">
        <f>IF(Components!N129&gt;0,PPMT(EarningsRate,1,Components!$K129,0,-Components!N129*((1+InflationRate)^Components!$K129),0),L129)</f>
        <v>1540.5372060713764</v>
      </c>
      <c r="N129" s="11">
        <f>IF(Components!O129&gt;0,PPMT(EarningsRate,1,Components!$K129,0,-Components!O129*((1+InflationRate)^Components!$K129),0),M129)</f>
        <v>1540.5372060713764</v>
      </c>
      <c r="O129" s="11">
        <f>IF(Components!P129&gt;0,PPMT(EarningsRate,1,Components!$K129,0,-Components!P129*((1+InflationRate)^Components!$K129),0),N129)</f>
        <v>1540.5372060713764</v>
      </c>
      <c r="P129" s="11">
        <f>IF(Components!Q129&gt;0,PPMT(EarningsRate,1,Components!$K129,0,-Components!Q129*((1+InflationRate)^Components!$K129),0),O129)</f>
        <v>1540.5372060713764</v>
      </c>
      <c r="Q129" s="11">
        <f>IF(Components!R129&gt;0,PPMT(EarningsRate,1,Components!$K129,0,-Components!R129*((1+InflationRate)^Components!$K129),0),P129)</f>
        <v>1540.5372060713764</v>
      </c>
      <c r="R129" s="11">
        <f>IF(Components!S129&gt;0,PPMT(EarningsRate,1,Components!$K129,0,-Components!S129*((1+InflationRate)^Components!$K129),0),Q129)</f>
        <v>1540.5372060713764</v>
      </c>
      <c r="S129" s="11">
        <f>IF(Components!T129&gt;0,PPMT(EarningsRate,1,Components!$K129,0,-Components!T129*((1+InflationRate)^Components!$K129),0),R129)</f>
        <v>1540.5372060713764</v>
      </c>
      <c r="T129" s="11">
        <f>IF(Components!U129&gt;0,PPMT(EarningsRate,1,Components!$K129,0,-Components!U129*((1+InflationRate)^Components!$K129),0),S129)</f>
        <v>1540.5372060713764</v>
      </c>
      <c r="U129" s="11">
        <f>IF(Components!V129&gt;0,PPMT(EarningsRate,1,Components!$K129,0,-Components!V129*((1+InflationRate)^Components!$K129),0),T129)</f>
        <v>1540.5372060713764</v>
      </c>
      <c r="V129" s="11">
        <f>IF(Components!W129&gt;0,PPMT(EarningsRate,1,Components!$K129,0,-Components!W129*((1+InflationRate)^Components!$K129),0),U129)</f>
        <v>1540.5372060713764</v>
      </c>
      <c r="W129" s="11">
        <f>IF(Components!X129&gt;0,PPMT(EarningsRate,1,Components!$K129,0,-Components!X129*((1+InflationRate)^Components!$K129),0),V129)</f>
        <v>1540.5372060713764</v>
      </c>
      <c r="X129" s="11">
        <f>IF(Components!Y129&gt;0,PPMT(EarningsRate,1,Components!$K129,0,-Components!Y129*((1+InflationRate)^Components!$K129),0),W129)</f>
        <v>1540.5372060713764</v>
      </c>
      <c r="Y129" s="11">
        <f>IF(Components!Z129&gt;0,PPMT(EarningsRate,1,Components!$K129,0,-Components!Z129*((1+InflationRate)^Components!$K129),0),X129)</f>
        <v>1540.5372060713764</v>
      </c>
      <c r="Z129" s="11">
        <f>IF(Components!AA129&gt;0,PPMT(EarningsRate,1,Components!$K129,0,-Components!AA129*((1+InflationRate)^Components!$K129),0),Y129)</f>
        <v>1540.5372060713764</v>
      </c>
      <c r="AA129" s="11">
        <f>IF(Components!AB129&gt;0,PPMT(EarningsRate,1,Components!$K129,0,-Components!AB129*((1+InflationRate)^Components!$K129),0),Z129)</f>
        <v>3065.343776395609</v>
      </c>
      <c r="AB129" s="11">
        <f>IF(Components!AC129&gt;0,PPMT(EarningsRate,1,Components!$K129,0,-Components!AC129*((1+InflationRate)^Components!$K129),0),AA129)</f>
        <v>3065.343776395609</v>
      </c>
      <c r="AC129" s="11">
        <f>IF(Components!AD129&gt;0,PPMT(EarningsRate,1,Components!$K129,0,-Components!AD129*((1+InflationRate)^Components!$K129),0),AB129)</f>
        <v>3065.343776395609</v>
      </c>
      <c r="AD129" s="11">
        <f>IF(Components!AE129&gt;0,PPMT(EarningsRate,1,Components!$K129,0,-Components!AE129*((1+InflationRate)^Components!$K129),0),AC129)</f>
        <v>3065.343776395609</v>
      </c>
      <c r="AE129" s="11">
        <f>IF(Components!AF129&gt;0,PPMT(EarningsRate,1,Components!$K129,0,-Components!AF129*((1+InflationRate)^Components!$K129),0),AD129)</f>
        <v>3065.343776395609</v>
      </c>
      <c r="AF129" s="11">
        <f>IF(Components!AG129&gt;0,PPMT(EarningsRate,1,Components!$K129,0,-Components!AG129*((1+InflationRate)^Components!$K129),0),AE129)</f>
        <v>3065.343776395609</v>
      </c>
      <c r="AG129" s="11">
        <f>IF(Components!AH129&gt;0,PPMT(EarningsRate,1,Components!$K129,0,-Components!AH129*((1+InflationRate)^Components!$K129),0),AF129)</f>
        <v>3065.343776395609</v>
      </c>
      <c r="AH129" s="11">
        <f>IF(Components!AI129&gt;0,PPMT(EarningsRate,1,Components!$K129,0,-Components!AI129*((1+InflationRate)^Components!$K129),0),AG129)</f>
        <v>3065.343776395609</v>
      </c>
      <c r="AI129" s="11">
        <f>IF(Components!AJ129&gt;0,PPMT(EarningsRate,1,Components!$K129,0,-Components!AJ129*((1+InflationRate)^Components!$K129),0),AH129)</f>
        <v>3065.343776395609</v>
      </c>
      <c r="AJ129" s="11">
        <f>IF(Components!AK129&gt;0,PPMT(EarningsRate,1,Components!$K129,0,-Components!AK129*((1+InflationRate)^Components!$K129),0),AI129)</f>
        <v>3065.343776395609</v>
      </c>
      <c r="AK129" s="11">
        <f>IF(Components!AL129&gt;0,PPMT(EarningsRate,1,Components!$K129,0,-Components!AL129*((1+InflationRate)^Components!$K129),0),AJ129)</f>
        <v>3065.343776395609</v>
      </c>
      <c r="AL129" s="11">
        <f>IF(Components!AM129&gt;0,PPMT(EarningsRate,1,Components!$K129,0,-Components!AM129*((1+InflationRate)^Components!$K129),0),AK129)</f>
        <v>3065.343776395609</v>
      </c>
      <c r="AM129" s="11">
        <f>IF(Components!AN129&gt;0,PPMT(EarningsRate,1,Components!$K129,0,-Components!AN129*((1+InflationRate)^Components!$K129),0),AL129)</f>
        <v>3065.343776395609</v>
      </c>
      <c r="AN129" s="11">
        <f>IF(Components!AO129&gt;0,PPMT(EarningsRate,1,Components!$K129,0,-Components!AO129*((1+InflationRate)^Components!$K129),0),AM129)</f>
        <v>3065.343776395609</v>
      </c>
      <c r="AO129" s="11">
        <f>IF(Components!AP129&gt;0,PPMT(EarningsRate,1,Components!$K129,0,-Components!AP129*((1+InflationRate)^Components!$K129),0),AN129)</f>
        <v>3065.343776395609</v>
      </c>
      <c r="AP129" s="214"/>
      <c r="AQ129" s="11">
        <f t="shared" si="2"/>
        <v>70628.752043076165</v>
      </c>
    </row>
    <row r="130" spans="1:43" s="1" customFormat="1">
      <c r="A130" s="220" t="str">
        <f>Components!B130</f>
        <v>Golf Course</v>
      </c>
      <c r="B130" s="220" t="str">
        <f>Components!C130</f>
        <v>Update Pump Station</v>
      </c>
      <c r="C130" s="211"/>
      <c r="D130" s="211"/>
      <c r="E130" s="211"/>
      <c r="F130" s="88"/>
      <c r="G130" s="212"/>
      <c r="H130" s="212"/>
      <c r="I130" s="212"/>
      <c r="J130" s="211"/>
      <c r="K130" s="11">
        <f>IF('FF Balance'!H130&gt;=0,PPMT(EarningsRate,1,Components!K130,0,-'FF Balance'!G130,0),0)</f>
        <v>5161.2266779160682</v>
      </c>
      <c r="L130" s="11">
        <f>IF(Components!M130&gt;0,PPMT(EarningsRate,1,Components!$K130,0,-Components!M130*((1+InflationRate)^Components!$K130),0),K130)</f>
        <v>5161.2266779160682</v>
      </c>
      <c r="M130" s="11">
        <f>IF(Components!N130&gt;0,PPMT(EarningsRate,1,Components!$K130,0,-Components!N130*((1+InflationRate)^Components!$K130),0),L130)</f>
        <v>5161.2266779160682</v>
      </c>
      <c r="N130" s="11">
        <f>IF(Components!O130&gt;0,PPMT(EarningsRate,1,Components!$K130,0,-Components!O130*((1+InflationRate)^Components!$K130),0),M130)</f>
        <v>5161.2266779160682</v>
      </c>
      <c r="O130" s="11">
        <f>IF(Components!P130&gt;0,PPMT(EarningsRate,1,Components!$K130,0,-Components!P130*((1+InflationRate)^Components!$K130),0),N130)</f>
        <v>5161.2266779160682</v>
      </c>
      <c r="P130" s="11">
        <f>IF(Components!Q130&gt;0,PPMT(EarningsRate,1,Components!$K130,0,-Components!Q130*((1+InflationRate)^Components!$K130),0),O130)</f>
        <v>5161.2266779160682</v>
      </c>
      <c r="Q130" s="11">
        <f>IF(Components!R130&gt;0,PPMT(EarningsRate,1,Components!$K130,0,-Components!R130*((1+InflationRate)^Components!$K130),0),P130)</f>
        <v>5161.2266779160682</v>
      </c>
      <c r="R130" s="11">
        <f>IF(Components!S130&gt;0,PPMT(EarningsRate,1,Components!$K130,0,-Components!S130*((1+InflationRate)^Components!$K130),0),Q130)</f>
        <v>5161.2266779160682</v>
      </c>
      <c r="S130" s="11">
        <f>IF(Components!T130&gt;0,PPMT(EarningsRate,1,Components!$K130,0,-Components!T130*((1+InflationRate)^Components!$K130),0),R130)</f>
        <v>5161.2266779160682</v>
      </c>
      <c r="T130" s="11">
        <f>IF(Components!U130&gt;0,PPMT(EarningsRate,1,Components!$K130,0,-Components!U130*((1+InflationRate)^Components!$K130),0),S130)</f>
        <v>5161.2266779160682</v>
      </c>
      <c r="U130" s="11">
        <f>IF(Components!V130&gt;0,PPMT(EarningsRate,1,Components!$K130,0,-Components!V130*((1+InflationRate)^Components!$K130),0),T130)</f>
        <v>5161.2266779160682</v>
      </c>
      <c r="V130" s="11">
        <f>IF(Components!W130&gt;0,PPMT(EarningsRate,1,Components!$K130,0,-Components!W130*((1+InflationRate)^Components!$K130),0),U130)</f>
        <v>5161.2266779160682</v>
      </c>
      <c r="W130" s="11">
        <f>IF(Components!X130&gt;0,PPMT(EarningsRate,1,Components!$K130,0,-Components!X130*((1+InflationRate)^Components!$K130),0),V130)</f>
        <v>5161.2266779160682</v>
      </c>
      <c r="X130" s="11">
        <f>IF(Components!Y130&gt;0,PPMT(EarningsRate,1,Components!$K130,0,-Components!Y130*((1+InflationRate)^Components!$K130),0),W130)</f>
        <v>5161.2266779160682</v>
      </c>
      <c r="Y130" s="11">
        <f>IF(Components!Z130&gt;0,PPMT(EarningsRate,1,Components!$K130,0,-Components!Z130*((1+InflationRate)^Components!$K130),0),X130)</f>
        <v>5161.2266779160682</v>
      </c>
      <c r="Z130" s="11">
        <f>IF(Components!AA130&gt;0,PPMT(EarningsRate,1,Components!$K130,0,-Components!AA130*((1+InflationRate)^Components!$K130),0),Y130)</f>
        <v>5161.2266779160682</v>
      </c>
      <c r="AA130" s="11">
        <f>IF(Components!AB130&gt;0,PPMT(EarningsRate,1,Components!$K130,0,-Components!AB130*((1+InflationRate)^Components!$K130),0),Z130)</f>
        <v>5161.2266779160682</v>
      </c>
      <c r="AB130" s="11">
        <f>IF(Components!AC130&gt;0,PPMT(EarningsRate,1,Components!$K130,0,-Components!AC130*((1+InflationRate)^Components!$K130),0),AA130)</f>
        <v>5161.2266779160682</v>
      </c>
      <c r="AC130" s="11">
        <f>IF(Components!AD130&gt;0,PPMT(EarningsRate,1,Components!$K130,0,-Components!AD130*((1+InflationRate)^Components!$K130),0),AB130)</f>
        <v>5161.2266779160682</v>
      </c>
      <c r="AD130" s="11">
        <f>IF(Components!AE130&gt;0,PPMT(EarningsRate,1,Components!$K130,0,-Components!AE130*((1+InflationRate)^Components!$K130),0),AC130)</f>
        <v>5161.2266779160682</v>
      </c>
      <c r="AE130" s="11">
        <f>IF(Components!AF130&gt;0,PPMT(EarningsRate,1,Components!$K130,0,-Components!AF130*((1+InflationRate)^Components!$K130),0),AD130)</f>
        <v>5161.2266779160682</v>
      </c>
      <c r="AF130" s="11">
        <f>IF(Components!AG130&gt;0,PPMT(EarningsRate,1,Components!$K130,0,-Components!AG130*((1+InflationRate)^Components!$K130),0),AE130)</f>
        <v>14486.498548118072</v>
      </c>
      <c r="AG130" s="11">
        <f>IF(Components!AH130&gt;0,PPMT(EarningsRate,1,Components!$K130,0,-Components!AH130*((1+InflationRate)^Components!$K130),0),AF130)</f>
        <v>14486.498548118072</v>
      </c>
      <c r="AH130" s="11">
        <f>IF(Components!AI130&gt;0,PPMT(EarningsRate,1,Components!$K130,0,-Components!AI130*((1+InflationRate)^Components!$K130),0),AG130)</f>
        <v>14486.498548118072</v>
      </c>
      <c r="AI130" s="11">
        <f>IF(Components!AJ130&gt;0,PPMT(EarningsRate,1,Components!$K130,0,-Components!AJ130*((1+InflationRate)^Components!$K130),0),AH130)</f>
        <v>14486.498548118072</v>
      </c>
      <c r="AJ130" s="11">
        <f>IF(Components!AK130&gt;0,PPMT(EarningsRate,1,Components!$K130,0,-Components!AK130*((1+InflationRate)^Components!$K130),0),AI130)</f>
        <v>14486.498548118072</v>
      </c>
      <c r="AK130" s="11">
        <f>IF(Components!AL130&gt;0,PPMT(EarningsRate,1,Components!$K130,0,-Components!AL130*((1+InflationRate)^Components!$K130),0),AJ130)</f>
        <v>14486.498548118072</v>
      </c>
      <c r="AL130" s="11">
        <f>IF(Components!AM130&gt;0,PPMT(EarningsRate,1,Components!$K130,0,-Components!AM130*((1+InflationRate)^Components!$K130),0),AK130)</f>
        <v>14486.498548118072</v>
      </c>
      <c r="AM130" s="11">
        <f>IF(Components!AN130&gt;0,PPMT(EarningsRate,1,Components!$K130,0,-Components!AN130*((1+InflationRate)^Components!$K130),0),AL130)</f>
        <v>14486.498548118072</v>
      </c>
      <c r="AN130" s="11">
        <f>IF(Components!AO130&gt;0,PPMT(EarningsRate,1,Components!$K130,0,-Components!AO130*((1+InflationRate)^Components!$K130),0),AM130)</f>
        <v>14486.498548118072</v>
      </c>
      <c r="AO130" s="11">
        <f>IF(Components!AP130&gt;0,PPMT(EarningsRate,1,Components!$K130,0,-Components!AP130*((1+InflationRate)^Components!$K130),0),AN130)</f>
        <v>14486.498548118072</v>
      </c>
      <c r="AP130" s="214"/>
      <c r="AQ130" s="11">
        <f t="shared" si="2"/>
        <v>253250.74581741824</v>
      </c>
    </row>
    <row r="131" spans="1:43" s="1" customFormat="1">
      <c r="A131" s="220" t="str">
        <f>Components!B131</f>
        <v>Golf Course</v>
      </c>
      <c r="B131" s="220" t="str">
        <f>Components!C131</f>
        <v>Waterfall Rebuild</v>
      </c>
      <c r="C131" s="211"/>
      <c r="D131" s="211"/>
      <c r="E131" s="211"/>
      <c r="F131" s="88"/>
      <c r="G131" s="212"/>
      <c r="H131" s="212"/>
      <c r="I131" s="212"/>
      <c r="J131" s="211"/>
      <c r="K131" s="11">
        <f>IF('FF Balance'!H131&gt;=0,PPMT(EarningsRate,1,Components!K131,0,-'FF Balance'!G131,0),0)</f>
        <v>3356.7379099757127</v>
      </c>
      <c r="L131" s="11">
        <f>IF(Components!M131&gt;0,PPMT(EarningsRate,1,Components!$K131,0,-Components!M131*((1+InflationRate)^Components!$K131),0),K131)</f>
        <v>3356.7379099757127</v>
      </c>
      <c r="M131" s="11">
        <f>IF(Components!N131&gt;0,PPMT(EarningsRate,1,Components!$K131,0,-Components!N131*((1+InflationRate)^Components!$K131),0),L131)</f>
        <v>3356.7379099757127</v>
      </c>
      <c r="N131" s="11">
        <f>IF(Components!O131&gt;0,PPMT(EarningsRate,1,Components!$K131,0,-Components!O131*((1+InflationRate)^Components!$K131),0),M131)</f>
        <v>3356.7379099757127</v>
      </c>
      <c r="O131" s="11">
        <f>IF(Components!P131&gt;0,PPMT(EarningsRate,1,Components!$K131,0,-Components!P131*((1+InflationRate)^Components!$K131),0),N131)</f>
        <v>3356.7379099757127</v>
      </c>
      <c r="P131" s="11">
        <f>IF(Components!Q131&gt;0,PPMT(EarningsRate,1,Components!$K131,0,-Components!Q131*((1+InflationRate)^Components!$K131),0),O131)</f>
        <v>3356.7379099757127</v>
      </c>
      <c r="Q131" s="11">
        <f>IF(Components!R131&gt;0,PPMT(EarningsRate,1,Components!$K131,0,-Components!R131*((1+InflationRate)^Components!$K131),0),P131)</f>
        <v>3356.7379099757127</v>
      </c>
      <c r="R131" s="11">
        <f>IF(Components!S131&gt;0,PPMT(EarningsRate,1,Components!$K131,0,-Components!S131*((1+InflationRate)^Components!$K131),0),Q131)</f>
        <v>3356.7379099757127</v>
      </c>
      <c r="S131" s="11">
        <f>IF(Components!T131&gt;0,PPMT(EarningsRate,1,Components!$K131,0,-Components!T131*((1+InflationRate)^Components!$K131),0),R131)</f>
        <v>3356.7379099757127</v>
      </c>
      <c r="T131" s="11">
        <f>IF(Components!U131&gt;0,PPMT(EarningsRate,1,Components!$K131,0,-Components!U131*((1+InflationRate)^Components!$K131),0),S131)</f>
        <v>3356.7379099757127</v>
      </c>
      <c r="U131" s="11">
        <f>IF(Components!V131&gt;0,PPMT(EarningsRate,1,Components!$K131,0,-Components!V131*((1+InflationRate)^Components!$K131),0),T131)</f>
        <v>3356.7379099757127</v>
      </c>
      <c r="V131" s="11">
        <f>IF(Components!W131&gt;0,PPMT(EarningsRate,1,Components!$K131,0,-Components!W131*((1+InflationRate)^Components!$K131),0),U131)</f>
        <v>3356.7379099757127</v>
      </c>
      <c r="W131" s="11">
        <f>IF(Components!X131&gt;0,PPMT(EarningsRate,1,Components!$K131,0,-Components!X131*((1+InflationRate)^Components!$K131),0),V131)</f>
        <v>3356.7379099757127</v>
      </c>
      <c r="X131" s="11">
        <f>IF(Components!Y131&gt;0,PPMT(EarningsRate,1,Components!$K131,0,-Components!Y131*((1+InflationRate)^Components!$K131),0),W131)</f>
        <v>3356.7379099757127</v>
      </c>
      <c r="Y131" s="11">
        <f>IF(Components!Z131&gt;0,PPMT(EarningsRate,1,Components!$K131,0,-Components!Z131*((1+InflationRate)^Components!$K131),0),X131)</f>
        <v>3356.7379099757127</v>
      </c>
      <c r="Z131" s="11">
        <f>IF(Components!AA131&gt;0,PPMT(EarningsRate,1,Components!$K131,0,-Components!AA131*((1+InflationRate)^Components!$K131),0),Y131)</f>
        <v>3356.7379099757127</v>
      </c>
      <c r="AA131" s="11">
        <f>IF(Components!AB131&gt;0,PPMT(EarningsRate,1,Components!$K131,0,-Components!AB131*((1+InflationRate)^Components!$K131),0),Z131)</f>
        <v>3356.7379099757127</v>
      </c>
      <c r="AB131" s="11">
        <f>IF(Components!AC131&gt;0,PPMT(EarningsRate,1,Components!$K131,0,-Components!AC131*((1+InflationRate)^Components!$K131),0),AA131)</f>
        <v>6679.1997108432806</v>
      </c>
      <c r="AC131" s="11">
        <f>IF(Components!AD131&gt;0,PPMT(EarningsRate,1,Components!$K131,0,-Components!AD131*((1+InflationRate)^Components!$K131),0),AB131)</f>
        <v>6679.1997108432806</v>
      </c>
      <c r="AD131" s="11">
        <f>IF(Components!AE131&gt;0,PPMT(EarningsRate,1,Components!$K131,0,-Components!AE131*((1+InflationRate)^Components!$K131),0),AC131)</f>
        <v>6679.1997108432806</v>
      </c>
      <c r="AE131" s="11">
        <f>IF(Components!AF131&gt;0,PPMT(EarningsRate,1,Components!$K131,0,-Components!AF131*((1+InflationRate)^Components!$K131),0),AD131)</f>
        <v>6679.1997108432806</v>
      </c>
      <c r="AF131" s="11">
        <f>IF(Components!AG131&gt;0,PPMT(EarningsRate,1,Components!$K131,0,-Components!AG131*((1+InflationRate)^Components!$K131),0),AE131)</f>
        <v>6679.1997108432806</v>
      </c>
      <c r="AG131" s="11">
        <f>IF(Components!AH131&gt;0,PPMT(EarningsRate,1,Components!$K131,0,-Components!AH131*((1+InflationRate)^Components!$K131),0),AF131)</f>
        <v>6679.1997108432806</v>
      </c>
      <c r="AH131" s="11">
        <f>IF(Components!AI131&gt;0,PPMT(EarningsRate,1,Components!$K131,0,-Components!AI131*((1+InflationRate)^Components!$K131),0),AG131)</f>
        <v>6679.1997108432806</v>
      </c>
      <c r="AI131" s="11">
        <f>IF(Components!AJ131&gt;0,PPMT(EarningsRate,1,Components!$K131,0,-Components!AJ131*((1+InflationRate)^Components!$K131),0),AH131)</f>
        <v>6679.1997108432806</v>
      </c>
      <c r="AJ131" s="11">
        <f>IF(Components!AK131&gt;0,PPMT(EarningsRate,1,Components!$K131,0,-Components!AK131*((1+InflationRate)^Components!$K131),0),AI131)</f>
        <v>6679.1997108432806</v>
      </c>
      <c r="AK131" s="11">
        <f>IF(Components!AL131&gt;0,PPMT(EarningsRate,1,Components!$K131,0,-Components!AL131*((1+InflationRate)^Components!$K131),0),AJ131)</f>
        <v>6679.1997108432806</v>
      </c>
      <c r="AL131" s="11">
        <f>IF(Components!AM131&gt;0,PPMT(EarningsRate,1,Components!$K131,0,-Components!AM131*((1+InflationRate)^Components!$K131),0),AK131)</f>
        <v>6679.1997108432806</v>
      </c>
      <c r="AM131" s="11">
        <f>IF(Components!AN131&gt;0,PPMT(EarningsRate,1,Components!$K131,0,-Components!AN131*((1+InflationRate)^Components!$K131),0),AL131)</f>
        <v>6679.1997108432806</v>
      </c>
      <c r="AN131" s="11">
        <f>IF(Components!AO131&gt;0,PPMT(EarningsRate,1,Components!$K131,0,-Components!AO131*((1+InflationRate)^Components!$K131),0),AM131)</f>
        <v>6679.1997108432806</v>
      </c>
      <c r="AO131" s="11">
        <f>IF(Components!AP131&gt;0,PPMT(EarningsRate,1,Components!$K131,0,-Components!AP131*((1+InflationRate)^Components!$K131),0),AN131)</f>
        <v>6679.1997108432806</v>
      </c>
      <c r="AP131" s="214"/>
      <c r="AQ131" s="11">
        <f t="shared" si="2"/>
        <v>150573.34052139305</v>
      </c>
    </row>
    <row r="132" spans="1:43" s="1" customFormat="1">
      <c r="A132" s="220" t="str">
        <f>Components!B132</f>
        <v>Golf Course</v>
      </c>
      <c r="B132" s="220" t="str">
        <f>Components!C132</f>
        <v>Well 150 hp: Pump &amp; Motor rebuild/replace</v>
      </c>
      <c r="C132" s="211"/>
      <c r="D132" s="211"/>
      <c r="E132" s="211"/>
      <c r="F132" s="88"/>
      <c r="G132" s="212"/>
      <c r="H132" s="212"/>
      <c r="I132" s="212"/>
      <c r="J132" s="211"/>
      <c r="K132" s="11">
        <f>IF('FF Balance'!H132&gt;=0,PPMT(EarningsRate,1,Components!K132,0,-'FF Balance'!G132,0),0)</f>
        <v>8229.5087137593255</v>
      </c>
      <c r="L132" s="11">
        <f>IF(Components!M132&gt;0,PPMT(EarningsRate,1,Components!$K132,0,-Components!M132*((1+InflationRate)^Components!$K132),0),K132)</f>
        <v>8229.5087137593255</v>
      </c>
      <c r="M132" s="11">
        <f>IF(Components!N132&gt;0,PPMT(EarningsRate,1,Components!$K132,0,-Components!N132*((1+InflationRate)^Components!$K132),0),L132)</f>
        <v>8229.5087137593255</v>
      </c>
      <c r="N132" s="11">
        <f>IF(Components!O132&gt;0,PPMT(EarningsRate,1,Components!$K132,0,-Components!O132*((1+InflationRate)^Components!$K132),0),M132)</f>
        <v>8229.5087137593255</v>
      </c>
      <c r="O132" s="11">
        <f>IF(Components!P132&gt;0,PPMT(EarningsRate,1,Components!$K132,0,-Components!P132*((1+InflationRate)^Components!$K132),0),N132)</f>
        <v>8229.5087137593255</v>
      </c>
      <c r="P132" s="11">
        <f>IF(Components!Q132&gt;0,PPMT(EarningsRate,1,Components!$K132,0,-Components!Q132*((1+InflationRate)^Components!$K132),0),O132)</f>
        <v>8229.5087137593255</v>
      </c>
      <c r="Q132" s="11">
        <f>IF(Components!R132&gt;0,PPMT(EarningsRate,1,Components!$K132,0,-Components!R132*((1+InflationRate)^Components!$K132),0),P132)</f>
        <v>8229.5087137593255</v>
      </c>
      <c r="R132" s="11">
        <f>IF(Components!S132&gt;0,PPMT(EarningsRate,1,Components!$K132,0,-Components!S132*((1+InflationRate)^Components!$K132),0),Q132)</f>
        <v>8229.5087137593255</v>
      </c>
      <c r="S132" s="11">
        <f>IF(Components!T132&gt;0,PPMT(EarningsRate,1,Components!$K132,0,-Components!T132*((1+InflationRate)^Components!$K132),0),R132)</f>
        <v>8229.5087137593255</v>
      </c>
      <c r="T132" s="11">
        <f>IF(Components!U132&gt;0,PPMT(EarningsRate,1,Components!$K132,0,-Components!U132*((1+InflationRate)^Components!$K132),0),S132)</f>
        <v>8229.5087137593255</v>
      </c>
      <c r="U132" s="11">
        <f>IF(Components!V132&gt;0,PPMT(EarningsRate,1,Components!$K132,0,-Components!V132*((1+InflationRate)^Components!$K132),0),T132)</f>
        <v>8229.5087137593255</v>
      </c>
      <c r="V132" s="11">
        <f>IF(Components!W132&gt;0,PPMT(EarningsRate,1,Components!$K132,0,-Components!W132*((1+InflationRate)^Components!$K132),0),U132)</f>
        <v>8229.5087137593255</v>
      </c>
      <c r="W132" s="11">
        <f>IF(Components!X132&gt;0,PPMT(EarningsRate,1,Components!$K132,0,-Components!X132*((1+InflationRate)^Components!$K132),0),V132)</f>
        <v>13787.297801261391</v>
      </c>
      <c r="X132" s="11">
        <f>IF(Components!Y132&gt;0,PPMT(EarningsRate,1,Components!$K132,0,-Components!Y132*((1+InflationRate)^Components!$K132),0),W132)</f>
        <v>13787.297801261391</v>
      </c>
      <c r="Y132" s="11">
        <f>IF(Components!Z132&gt;0,PPMT(EarningsRate,1,Components!$K132,0,-Components!Z132*((1+InflationRate)^Components!$K132),0),X132)</f>
        <v>13787.297801261391</v>
      </c>
      <c r="Z132" s="11">
        <f>IF(Components!AA132&gt;0,PPMT(EarningsRate,1,Components!$K132,0,-Components!AA132*((1+InflationRate)^Components!$K132),0),Y132)</f>
        <v>13787.297801261391</v>
      </c>
      <c r="AA132" s="11">
        <f>IF(Components!AB132&gt;0,PPMT(EarningsRate,1,Components!$K132,0,-Components!AB132*((1+InflationRate)^Components!$K132),0),Z132)</f>
        <v>13787.297801261391</v>
      </c>
      <c r="AB132" s="11">
        <f>IF(Components!AC132&gt;0,PPMT(EarningsRate,1,Components!$K132,0,-Components!AC132*((1+InflationRate)^Components!$K132),0),AA132)</f>
        <v>13787.297801261391</v>
      </c>
      <c r="AC132" s="11">
        <f>IF(Components!AD132&gt;0,PPMT(EarningsRate,1,Components!$K132,0,-Components!AD132*((1+InflationRate)^Components!$K132),0),AB132)</f>
        <v>13787.297801261391</v>
      </c>
      <c r="AD132" s="11">
        <f>IF(Components!AE132&gt;0,PPMT(EarningsRate,1,Components!$K132,0,-Components!AE132*((1+InflationRate)^Components!$K132),0),AC132)</f>
        <v>13787.297801261391</v>
      </c>
      <c r="AE132" s="11">
        <f>IF(Components!AF132&gt;0,PPMT(EarningsRate,1,Components!$K132,0,-Components!AF132*((1+InflationRate)^Components!$K132),0),AD132)</f>
        <v>13787.297801261391</v>
      </c>
      <c r="AF132" s="11">
        <f>IF(Components!AG132&gt;0,PPMT(EarningsRate,1,Components!$K132,0,-Components!AG132*((1+InflationRate)^Components!$K132),0),AE132)</f>
        <v>13787.297801261391</v>
      </c>
      <c r="AG132" s="11">
        <f>IF(Components!AH132&gt;0,PPMT(EarningsRate,1,Components!$K132,0,-Components!AH132*((1+InflationRate)^Components!$K132),0),AF132)</f>
        <v>13787.297801261391</v>
      </c>
      <c r="AH132" s="11">
        <f>IF(Components!AI132&gt;0,PPMT(EarningsRate,1,Components!$K132,0,-Components!AI132*((1+InflationRate)^Components!$K132),0),AG132)</f>
        <v>13787.297801261391</v>
      </c>
      <c r="AI132" s="11">
        <f>IF(Components!AJ132&gt;0,PPMT(EarningsRate,1,Components!$K132,0,-Components!AJ132*((1+InflationRate)^Components!$K132),0),AH132)</f>
        <v>13787.297801261391</v>
      </c>
      <c r="AJ132" s="11">
        <f>IF(Components!AK132&gt;0,PPMT(EarningsRate,1,Components!$K132,0,-Components!AK132*((1+InflationRate)^Components!$K132),0),AI132)</f>
        <v>13787.297801261391</v>
      </c>
      <c r="AK132" s="11">
        <f>IF(Components!AL132&gt;0,PPMT(EarningsRate,1,Components!$K132,0,-Components!AL132*((1+InflationRate)^Components!$K132),0),AJ132)</f>
        <v>13787.297801261391</v>
      </c>
      <c r="AL132" s="11">
        <f>IF(Components!AM132&gt;0,PPMT(EarningsRate,1,Components!$K132,0,-Components!AM132*((1+InflationRate)^Components!$K132),0),AK132)</f>
        <v>23098.477510503279</v>
      </c>
      <c r="AM132" s="11">
        <f>IF(Components!AN132&gt;0,PPMT(EarningsRate,1,Components!$K132,0,-Components!AN132*((1+InflationRate)^Components!$K132),0),AL132)</f>
        <v>23098.477510503279</v>
      </c>
      <c r="AN132" s="11">
        <f>IF(Components!AO132&gt;0,PPMT(EarningsRate,1,Components!$K132,0,-Components!AO132*((1+InflationRate)^Components!$K132),0),AM132)</f>
        <v>23098.477510503279</v>
      </c>
      <c r="AO132" s="11">
        <f>IF(Components!AP132&gt;0,PPMT(EarningsRate,1,Components!$K132,0,-Components!AP132*((1+InflationRate)^Components!$K132),0),AN132)</f>
        <v>23098.477510503279</v>
      </c>
      <c r="AP132" s="214"/>
      <c r="AQ132" s="11">
        <f t="shared" ref="AQ132:AQ191" si="3">SUM(K132:AP132)+0.0001</f>
        <v>397957.48172604589</v>
      </c>
    </row>
    <row r="133" spans="1:43" s="1" customFormat="1">
      <c r="A133" s="220" t="str">
        <f>Components!B133</f>
        <v>Golf Course</v>
      </c>
      <c r="B133" s="220" t="str">
        <f>Components!C133</f>
        <v>Well Rehab</v>
      </c>
      <c r="C133" s="211"/>
      <c r="D133" s="211"/>
      <c r="E133" s="211"/>
      <c r="F133" s="88"/>
      <c r="G133" s="212"/>
      <c r="H133" s="212"/>
      <c r="I133" s="212"/>
      <c r="J133" s="211"/>
      <c r="K133" s="11">
        <f>IF('FF Balance'!H133&gt;=0,PPMT(EarningsRate,1,Components!K133,0,-'FF Balance'!G133,0),0)</f>
        <v>7354.8569664245624</v>
      </c>
      <c r="L133" s="11">
        <f>IF(Components!M133&gt;0,PPMT(EarningsRate,1,Components!$K133,0,-Components!M133*((1+InflationRate)^Components!$K133),0),K133)</f>
        <v>7354.8569664245624</v>
      </c>
      <c r="M133" s="11">
        <f>IF(Components!N133&gt;0,PPMT(EarningsRate,1,Components!$K133,0,-Components!N133*((1+InflationRate)^Components!$K133),0),L133)</f>
        <v>7354.8569664245624</v>
      </c>
      <c r="N133" s="11">
        <f>IF(Components!O133&gt;0,PPMT(EarningsRate,1,Components!$K133,0,-Components!O133*((1+InflationRate)^Components!$K133),0),M133)</f>
        <v>7354.8569664245624</v>
      </c>
      <c r="O133" s="11">
        <f>IF(Components!P133&gt;0,PPMT(EarningsRate,1,Components!$K133,0,-Components!P133*((1+InflationRate)^Components!$K133),0),N133)</f>
        <v>7354.8569664245624</v>
      </c>
      <c r="P133" s="11">
        <f>IF(Components!Q133&gt;0,PPMT(EarningsRate,1,Components!$K133,0,-Components!Q133*((1+InflationRate)^Components!$K133),0),O133)</f>
        <v>7354.8569664245624</v>
      </c>
      <c r="Q133" s="11">
        <f>IF(Components!R133&gt;0,PPMT(EarningsRate,1,Components!$K133,0,-Components!R133*((1+InflationRate)^Components!$K133),0),P133)</f>
        <v>7354.8569664245624</v>
      </c>
      <c r="R133" s="11">
        <f>IF(Components!S133&gt;0,PPMT(EarningsRate,1,Components!$K133,0,-Components!S133*((1+InflationRate)^Components!$K133),0),Q133)</f>
        <v>7354.8569664245624</v>
      </c>
      <c r="S133" s="11">
        <f>IF(Components!T133&gt;0,PPMT(EarningsRate,1,Components!$K133,0,-Components!T133*((1+InflationRate)^Components!$K133),0),R133)</f>
        <v>7354.8569664245624</v>
      </c>
      <c r="T133" s="11">
        <f>IF(Components!U133&gt;0,PPMT(EarningsRate,1,Components!$K133,0,-Components!U133*((1+InflationRate)^Components!$K133),0),S133)</f>
        <v>7354.8569664245624</v>
      </c>
      <c r="U133" s="11">
        <f>IF(Components!V133&gt;0,PPMT(EarningsRate,1,Components!$K133,0,-Components!V133*((1+InflationRate)^Components!$K133),0),T133)</f>
        <v>7354.8569664245624</v>
      </c>
      <c r="V133" s="11">
        <f>IF(Components!W133&gt;0,PPMT(EarningsRate,1,Components!$K133,0,-Components!W133*((1+InflationRate)^Components!$K133),0),U133)</f>
        <v>7354.8569664245624</v>
      </c>
      <c r="W133" s="11">
        <f>IF(Components!X133&gt;0,PPMT(EarningsRate,1,Components!$K133,0,-Components!X133*((1+InflationRate)^Components!$K133),0),V133)</f>
        <v>7354.8569664245624</v>
      </c>
      <c r="X133" s="11">
        <f>IF(Components!Y133&gt;0,PPMT(EarningsRate,1,Components!$K133,0,-Components!Y133*((1+InflationRate)^Components!$K133),0),W133)</f>
        <v>7354.8569664245624</v>
      </c>
      <c r="Y133" s="11">
        <f>IF(Components!Z133&gt;0,PPMT(EarningsRate,1,Components!$K133,0,-Components!Z133*((1+InflationRate)^Components!$K133),0),X133)</f>
        <v>7354.8569664245624</v>
      </c>
      <c r="Z133" s="11">
        <f>IF(Components!AA133&gt;0,PPMT(EarningsRate,1,Components!$K133,0,-Components!AA133*((1+InflationRate)^Components!$K133),0),Y133)</f>
        <v>7354.8569664245624</v>
      </c>
      <c r="AA133" s="11">
        <f>IF(Components!AB133&gt;0,PPMT(EarningsRate,1,Components!$K133,0,-Components!AB133*((1+InflationRate)^Components!$K133),0),Z133)</f>
        <v>7354.8569664245624</v>
      </c>
      <c r="AB133" s="11">
        <f>IF(Components!AC133&gt;0,PPMT(EarningsRate,1,Components!$K133,0,-Components!AC133*((1+InflationRate)^Components!$K133),0),AA133)</f>
        <v>14634.61248417577</v>
      </c>
      <c r="AC133" s="11">
        <f>IF(Components!AD133&gt;0,PPMT(EarningsRate,1,Components!$K133,0,-Components!AD133*((1+InflationRate)^Components!$K133),0),AB133)</f>
        <v>14634.61248417577</v>
      </c>
      <c r="AD133" s="11">
        <f>IF(Components!AE133&gt;0,PPMT(EarningsRate,1,Components!$K133,0,-Components!AE133*((1+InflationRate)^Components!$K133),0),AC133)</f>
        <v>14634.61248417577</v>
      </c>
      <c r="AE133" s="11">
        <f>IF(Components!AF133&gt;0,PPMT(EarningsRate,1,Components!$K133,0,-Components!AF133*((1+InflationRate)^Components!$K133),0),AD133)</f>
        <v>14634.61248417577</v>
      </c>
      <c r="AF133" s="11">
        <f>IF(Components!AG133&gt;0,PPMT(EarningsRate,1,Components!$K133,0,-Components!AG133*((1+InflationRate)^Components!$K133),0),AE133)</f>
        <v>14634.61248417577</v>
      </c>
      <c r="AG133" s="11">
        <f>IF(Components!AH133&gt;0,PPMT(EarningsRate,1,Components!$K133,0,-Components!AH133*((1+InflationRate)^Components!$K133),0),AF133)</f>
        <v>14634.61248417577</v>
      </c>
      <c r="AH133" s="11">
        <f>IF(Components!AI133&gt;0,PPMT(EarningsRate,1,Components!$K133,0,-Components!AI133*((1+InflationRate)^Components!$K133),0),AG133)</f>
        <v>14634.61248417577</v>
      </c>
      <c r="AI133" s="11">
        <f>IF(Components!AJ133&gt;0,PPMT(EarningsRate,1,Components!$K133,0,-Components!AJ133*((1+InflationRate)^Components!$K133),0),AH133)</f>
        <v>14634.61248417577</v>
      </c>
      <c r="AJ133" s="11">
        <f>IF(Components!AK133&gt;0,PPMT(EarningsRate,1,Components!$K133,0,-Components!AK133*((1+InflationRate)^Components!$K133),0),AI133)</f>
        <v>14634.61248417577</v>
      </c>
      <c r="AK133" s="11">
        <f>IF(Components!AL133&gt;0,PPMT(EarningsRate,1,Components!$K133,0,-Components!AL133*((1+InflationRate)^Components!$K133),0),AJ133)</f>
        <v>14634.61248417577</v>
      </c>
      <c r="AL133" s="11">
        <f>IF(Components!AM133&gt;0,PPMT(EarningsRate,1,Components!$K133,0,-Components!AM133*((1+InflationRate)^Components!$K133),0),AK133)</f>
        <v>14634.61248417577</v>
      </c>
      <c r="AM133" s="11">
        <f>IF(Components!AN133&gt;0,PPMT(EarningsRate,1,Components!$K133,0,-Components!AN133*((1+InflationRate)^Components!$K133),0),AL133)</f>
        <v>14634.61248417577</v>
      </c>
      <c r="AN133" s="11">
        <f>IF(Components!AO133&gt;0,PPMT(EarningsRate,1,Components!$K133,0,-Components!AO133*((1+InflationRate)^Components!$K133),0),AM133)</f>
        <v>14634.61248417577</v>
      </c>
      <c r="AO133" s="11">
        <f>IF(Components!AP133&gt;0,PPMT(EarningsRate,1,Components!$K133,0,-Components!AP133*((1+InflationRate)^Components!$K133),0),AN133)</f>
        <v>14634.61248417577</v>
      </c>
      <c r="AP133" s="214"/>
      <c r="AQ133" s="11">
        <f t="shared" si="3"/>
        <v>329917.14330767829</v>
      </c>
    </row>
    <row r="134" spans="1:43" s="1" customFormat="1">
      <c r="A134" s="220" t="str">
        <f>Components!B134</f>
        <v>Golf Equip</v>
      </c>
      <c r="B134" s="220" t="str">
        <f>Components!C134</f>
        <v>Aerifier, fairway</v>
      </c>
      <c r="C134" s="211"/>
      <c r="D134" s="211"/>
      <c r="E134" s="211"/>
      <c r="F134" s="88"/>
      <c r="G134" s="212"/>
      <c r="H134" s="212"/>
      <c r="I134" s="212"/>
      <c r="J134" s="211"/>
      <c r="K134" s="11">
        <f>IF('FF Balance'!H134&gt;=0,PPMT(EarningsRate,1,Components!K134,0,-'FF Balance'!G134,0),0)</f>
        <v>502.8155598603023</v>
      </c>
      <c r="L134" s="11">
        <f>IF(Components!M134&gt;0,PPMT(EarningsRate,1,Components!$K134,0,-Components!M134*((1+InflationRate)^Components!$K134),0),K134)</f>
        <v>502.8155598603023</v>
      </c>
      <c r="M134" s="11">
        <f>IF(Components!N134&gt;0,PPMT(EarningsRate,1,Components!$K134,0,-Components!N134*((1+InflationRate)^Components!$K134),0),L134)</f>
        <v>502.8155598603023</v>
      </c>
      <c r="N134" s="11">
        <f>IF(Components!O134&gt;0,PPMT(EarningsRate,1,Components!$K134,0,-Components!O134*((1+InflationRate)^Components!$K134),0),M134)</f>
        <v>502.8155598603023</v>
      </c>
      <c r="O134" s="11">
        <f>IF(Components!P134&gt;0,PPMT(EarningsRate,1,Components!$K134,0,-Components!P134*((1+InflationRate)^Components!$K134),0),N134)</f>
        <v>502.8155598603023</v>
      </c>
      <c r="P134" s="11">
        <f>IF(Components!Q134&gt;0,PPMT(EarningsRate,1,Components!$K134,0,-Components!Q134*((1+InflationRate)^Components!$K134),0),O134)</f>
        <v>502.8155598603023</v>
      </c>
      <c r="Q134" s="11">
        <f>IF(Components!R134&gt;0,PPMT(EarningsRate,1,Components!$K134,0,-Components!R134*((1+InflationRate)^Components!$K134),0),P134)</f>
        <v>502.8155598603023</v>
      </c>
      <c r="R134" s="11">
        <f>IF(Components!S134&gt;0,PPMT(EarningsRate,1,Components!$K134,0,-Components!S134*((1+InflationRate)^Components!$K134),0),Q134)</f>
        <v>502.8155598603023</v>
      </c>
      <c r="S134" s="11">
        <f>IF(Components!T134&gt;0,PPMT(EarningsRate,1,Components!$K134,0,-Components!T134*((1+InflationRate)^Components!$K134),0),R134)</f>
        <v>502.8155598603023</v>
      </c>
      <c r="T134" s="11">
        <f>IF(Components!U134&gt;0,PPMT(EarningsRate,1,Components!$K134,0,-Components!U134*((1+InflationRate)^Components!$K134),0),S134)</f>
        <v>502.8155598603023</v>
      </c>
      <c r="U134" s="11">
        <f>IF(Components!V134&gt;0,PPMT(EarningsRate,1,Components!$K134,0,-Components!V134*((1+InflationRate)^Components!$K134),0),T134)</f>
        <v>502.8155598603023</v>
      </c>
      <c r="V134" s="11">
        <f>IF(Components!W134&gt;0,PPMT(EarningsRate,1,Components!$K134,0,-Components!W134*((1+InflationRate)^Components!$K134),0),U134)</f>
        <v>502.8155598603023</v>
      </c>
      <c r="W134" s="11">
        <f>IF(Components!X134&gt;0,PPMT(EarningsRate,1,Components!$K134,0,-Components!X134*((1+InflationRate)^Components!$K134),0),V134)</f>
        <v>502.8155598603023</v>
      </c>
      <c r="X134" s="11">
        <f>IF(Components!Y134&gt;0,PPMT(EarningsRate,1,Components!$K134,0,-Components!Y134*((1+InflationRate)^Components!$K134),0),W134)</f>
        <v>502.8155598603023</v>
      </c>
      <c r="Y134" s="11">
        <f>IF(Components!Z134&gt;0,PPMT(EarningsRate,1,Components!$K134,0,-Components!Z134*((1+InflationRate)^Components!$K134),0),X134)</f>
        <v>502.8155598603023</v>
      </c>
      <c r="Z134" s="11">
        <f>IF(Components!AA134&gt;0,PPMT(EarningsRate,1,Components!$K134,0,-Components!AA134*((1+InflationRate)^Components!$K134),0),Y134)</f>
        <v>502.8155598603023</v>
      </c>
      <c r="AA134" s="11">
        <f>IF(Components!AB134&gt;0,PPMT(EarningsRate,1,Components!$K134,0,-Components!AB134*((1+InflationRate)^Components!$K134),0),Z134)</f>
        <v>502.8155598603023</v>
      </c>
      <c r="AB134" s="11">
        <f>IF(Components!AC134&gt;0,PPMT(EarningsRate,1,Components!$K134,0,-Components!AC134*((1+InflationRate)^Components!$K134),0),AA134)</f>
        <v>502.8155598603023</v>
      </c>
      <c r="AC134" s="11">
        <f>IF(Components!AD134&gt;0,PPMT(EarningsRate,1,Components!$K134,0,-Components!AD134*((1+InflationRate)^Components!$K134),0),AB134)</f>
        <v>502.8155598603023</v>
      </c>
      <c r="AD134" s="11">
        <f>IF(Components!AE134&gt;0,PPMT(EarningsRate,1,Components!$K134,0,-Components!AE134*((1+InflationRate)^Components!$K134),0),AC134)</f>
        <v>1229.8660220960778</v>
      </c>
      <c r="AE134" s="11">
        <f>IF(Components!AF134&gt;0,PPMT(EarningsRate,1,Components!$K134,0,-Components!AF134*((1+InflationRate)^Components!$K134),0),AD134)</f>
        <v>1229.8660220960778</v>
      </c>
      <c r="AF134" s="11">
        <f>IF(Components!AG134&gt;0,PPMT(EarningsRate,1,Components!$K134,0,-Components!AG134*((1+InflationRate)^Components!$K134),0),AE134)</f>
        <v>1229.8660220960778</v>
      </c>
      <c r="AG134" s="11">
        <f>IF(Components!AH134&gt;0,PPMT(EarningsRate,1,Components!$K134,0,-Components!AH134*((1+InflationRate)^Components!$K134),0),AF134)</f>
        <v>1229.8660220960778</v>
      </c>
      <c r="AH134" s="11">
        <f>IF(Components!AI134&gt;0,PPMT(EarningsRate,1,Components!$K134,0,-Components!AI134*((1+InflationRate)^Components!$K134),0),AG134)</f>
        <v>1229.8660220960778</v>
      </c>
      <c r="AI134" s="11">
        <f>IF(Components!AJ134&gt;0,PPMT(EarningsRate,1,Components!$K134,0,-Components!AJ134*((1+InflationRate)^Components!$K134),0),AH134)</f>
        <v>1229.8660220960778</v>
      </c>
      <c r="AJ134" s="11">
        <f>IF(Components!AK134&gt;0,PPMT(EarningsRate,1,Components!$K134,0,-Components!AK134*((1+InflationRate)^Components!$K134),0),AI134)</f>
        <v>1229.8660220960778</v>
      </c>
      <c r="AK134" s="11">
        <f>IF(Components!AL134&gt;0,PPMT(EarningsRate,1,Components!$K134,0,-Components!AL134*((1+InflationRate)^Components!$K134),0),AJ134)</f>
        <v>1229.8660220960778</v>
      </c>
      <c r="AL134" s="11">
        <f>IF(Components!AM134&gt;0,PPMT(EarningsRate,1,Components!$K134,0,-Components!AM134*((1+InflationRate)^Components!$K134),0),AK134)</f>
        <v>1229.8660220960778</v>
      </c>
      <c r="AM134" s="11">
        <f>IF(Components!AN134&gt;0,PPMT(EarningsRate,1,Components!$K134,0,-Components!AN134*((1+InflationRate)^Components!$K134),0),AL134)</f>
        <v>1229.8660220960778</v>
      </c>
      <c r="AN134" s="11">
        <f>IF(Components!AO134&gt;0,PPMT(EarningsRate,1,Components!$K134,0,-Components!AO134*((1+InflationRate)^Components!$K134),0),AM134)</f>
        <v>1229.8660220960778</v>
      </c>
      <c r="AO134" s="11">
        <f>IF(Components!AP134&gt;0,PPMT(EarningsRate,1,Components!$K134,0,-Components!AP134*((1+InflationRate)^Components!$K134),0),AN134)</f>
        <v>1229.8660220960778</v>
      </c>
      <c r="AP134" s="214"/>
      <c r="AQ134" s="11">
        <f t="shared" si="3"/>
        <v>24311.888002498676</v>
      </c>
    </row>
    <row r="135" spans="1:43" s="1" customFormat="1">
      <c r="A135" s="220" t="str">
        <f>Components!B135</f>
        <v>Golf Equip</v>
      </c>
      <c r="B135" s="220" t="str">
        <f>Components!C135</f>
        <v>Aerifier, greens</v>
      </c>
      <c r="C135" s="211"/>
      <c r="D135" s="211"/>
      <c r="E135" s="211"/>
      <c r="F135" s="88"/>
      <c r="G135" s="212"/>
      <c r="H135" s="212"/>
      <c r="I135" s="212"/>
      <c r="J135" s="211"/>
      <c r="K135" s="11">
        <f>IF('FF Balance'!H135&gt;=0,PPMT(EarningsRate,1,Components!K135,0,-'FF Balance'!G135,0),0)</f>
        <v>1716.62105921176</v>
      </c>
      <c r="L135" s="11">
        <f>IF(Components!M135&gt;0,PPMT(EarningsRate,1,Components!$K135,0,-Components!M135*((1+InflationRate)^Components!$K135),0),K135)</f>
        <v>1716.62105921176</v>
      </c>
      <c r="M135" s="11">
        <f>IF(Components!N135&gt;0,PPMT(EarningsRate,1,Components!$K135,0,-Components!N135*((1+InflationRate)^Components!$K135),0),L135)</f>
        <v>1716.62105921176</v>
      </c>
      <c r="N135" s="11">
        <f>IF(Components!O135&gt;0,PPMT(EarningsRate,1,Components!$K135,0,-Components!O135*((1+InflationRate)^Components!$K135),0),M135)</f>
        <v>1716.62105921176</v>
      </c>
      <c r="O135" s="11">
        <f>IF(Components!P135&gt;0,PPMT(EarningsRate,1,Components!$K135,0,-Components!P135*((1+InflationRate)^Components!$K135),0),N135)</f>
        <v>3080.7778456809851</v>
      </c>
      <c r="P135" s="11">
        <f>IF(Components!Q135&gt;0,PPMT(EarningsRate,1,Components!$K135,0,-Components!Q135*((1+InflationRate)^Components!$K135),0),O135)</f>
        <v>3080.7778456809851</v>
      </c>
      <c r="Q135" s="11">
        <f>IF(Components!R135&gt;0,PPMT(EarningsRate,1,Components!$K135,0,-Components!R135*((1+InflationRate)^Components!$K135),0),P135)</f>
        <v>3080.7778456809851</v>
      </c>
      <c r="R135" s="11">
        <f>IF(Components!S135&gt;0,PPMT(EarningsRate,1,Components!$K135,0,-Components!S135*((1+InflationRate)^Components!$K135),0),Q135)</f>
        <v>3080.7778456809851</v>
      </c>
      <c r="S135" s="11">
        <f>IF(Components!T135&gt;0,PPMT(EarningsRate,1,Components!$K135,0,-Components!T135*((1+InflationRate)^Components!$K135),0),R135)</f>
        <v>3080.7778456809851</v>
      </c>
      <c r="T135" s="11">
        <f>IF(Components!U135&gt;0,PPMT(EarningsRate,1,Components!$K135,0,-Components!U135*((1+InflationRate)^Components!$K135),0),S135)</f>
        <v>3080.7778456809851</v>
      </c>
      <c r="U135" s="11">
        <f>IF(Components!V135&gt;0,PPMT(EarningsRate,1,Components!$K135,0,-Components!V135*((1+InflationRate)^Components!$K135),0),T135)</f>
        <v>3080.7778456809851</v>
      </c>
      <c r="V135" s="11">
        <f>IF(Components!W135&gt;0,PPMT(EarningsRate,1,Components!$K135,0,-Components!W135*((1+InflationRate)^Components!$K135),0),U135)</f>
        <v>3080.7778456809851</v>
      </c>
      <c r="W135" s="11">
        <f>IF(Components!X135&gt;0,PPMT(EarningsRate,1,Components!$K135,0,-Components!X135*((1+InflationRate)^Components!$K135),0),V135)</f>
        <v>3080.7778456809851</v>
      </c>
      <c r="X135" s="11">
        <f>IF(Components!Y135&gt;0,PPMT(EarningsRate,1,Components!$K135,0,-Components!Y135*((1+InflationRate)^Components!$K135),0),W135)</f>
        <v>3080.7778456809851</v>
      </c>
      <c r="Y135" s="11">
        <f>IF(Components!Z135&gt;0,PPMT(EarningsRate,1,Components!$K135,0,-Components!Z135*((1+InflationRate)^Components!$K135),0),X135)</f>
        <v>3080.7778456809851</v>
      </c>
      <c r="Z135" s="11">
        <f>IF(Components!AA135&gt;0,PPMT(EarningsRate,1,Components!$K135,0,-Components!AA135*((1+InflationRate)^Components!$K135),0),Y135)</f>
        <v>3080.7778456809851</v>
      </c>
      <c r="AA135" s="11">
        <f>IF(Components!AB135&gt;0,PPMT(EarningsRate,1,Components!$K135,0,-Components!AB135*((1+InflationRate)^Components!$K135),0),Z135)</f>
        <v>3080.7778456809851</v>
      </c>
      <c r="AB135" s="11">
        <f>IF(Components!AC135&gt;0,PPMT(EarningsRate,1,Components!$K135,0,-Components!AC135*((1+InflationRate)^Components!$K135),0),AA135)</f>
        <v>3080.7778456809851</v>
      </c>
      <c r="AC135" s="11">
        <f>IF(Components!AD135&gt;0,PPMT(EarningsRate,1,Components!$K135,0,-Components!AD135*((1+InflationRate)^Components!$K135),0),AB135)</f>
        <v>3080.7778456809851</v>
      </c>
      <c r="AD135" s="11">
        <f>IF(Components!AE135&gt;0,PPMT(EarningsRate,1,Components!$K135,0,-Components!AE135*((1+InflationRate)^Components!$K135),0),AC135)</f>
        <v>3080.7778456809851</v>
      </c>
      <c r="AE135" s="11">
        <f>IF(Components!AF135&gt;0,PPMT(EarningsRate,1,Components!$K135,0,-Components!AF135*((1+InflationRate)^Components!$K135),0),AD135)</f>
        <v>3080.7778456809851</v>
      </c>
      <c r="AF135" s="11">
        <f>IF(Components!AG135&gt;0,PPMT(EarningsRate,1,Components!$K135,0,-Components!AG135*((1+InflationRate)^Components!$K135),0),AE135)</f>
        <v>5529.0357133457128</v>
      </c>
      <c r="AG135" s="11">
        <f>IF(Components!AH135&gt;0,PPMT(EarningsRate,1,Components!$K135,0,-Components!AH135*((1+InflationRate)^Components!$K135),0),AF135)</f>
        <v>5529.0357133457128</v>
      </c>
      <c r="AH135" s="11">
        <f>IF(Components!AI135&gt;0,PPMT(EarningsRate,1,Components!$K135,0,-Components!AI135*((1+InflationRate)^Components!$K135),0),AG135)</f>
        <v>5529.0357133457128</v>
      </c>
      <c r="AI135" s="11">
        <f>IF(Components!AJ135&gt;0,PPMT(EarningsRate,1,Components!$K135,0,-Components!AJ135*((1+InflationRate)^Components!$K135),0),AH135)</f>
        <v>5529.0357133457128</v>
      </c>
      <c r="AJ135" s="11">
        <f>IF(Components!AK135&gt;0,PPMT(EarningsRate,1,Components!$K135,0,-Components!AK135*((1+InflationRate)^Components!$K135),0),AI135)</f>
        <v>5529.0357133457128</v>
      </c>
      <c r="AK135" s="11">
        <f>IF(Components!AL135&gt;0,PPMT(EarningsRate,1,Components!$K135,0,-Components!AL135*((1+InflationRate)^Components!$K135),0),AJ135)</f>
        <v>5529.0357133457128</v>
      </c>
      <c r="AL135" s="11">
        <f>IF(Components!AM135&gt;0,PPMT(EarningsRate,1,Components!$K135,0,-Components!AM135*((1+InflationRate)^Components!$K135),0),AK135)</f>
        <v>5529.0357133457128</v>
      </c>
      <c r="AM135" s="11">
        <f>IF(Components!AN135&gt;0,PPMT(EarningsRate,1,Components!$K135,0,-Components!AN135*((1+InflationRate)^Components!$K135),0),AL135)</f>
        <v>5529.0357133457128</v>
      </c>
      <c r="AN135" s="11">
        <f>IF(Components!AO135&gt;0,PPMT(EarningsRate,1,Components!$K135,0,-Components!AO135*((1+InflationRate)^Components!$K135),0),AM135)</f>
        <v>5529.0357133457128</v>
      </c>
      <c r="AO135" s="11">
        <f>IF(Components!AP135&gt;0,PPMT(EarningsRate,1,Components!$K135,0,-Components!AP135*((1+InflationRate)^Components!$K135),0),AN135)</f>
        <v>5529.0357133457128</v>
      </c>
      <c r="AP135" s="214"/>
      <c r="AQ135" s="11">
        <f t="shared" si="3"/>
        <v>114530.06484688092</v>
      </c>
    </row>
    <row r="136" spans="1:43" s="1" customFormat="1">
      <c r="A136" s="220" t="str">
        <f>Components!B136</f>
        <v>Golf Equip</v>
      </c>
      <c r="B136" s="220" t="str">
        <f>Components!C136</f>
        <v>Bedknife Grinder</v>
      </c>
      <c r="C136" s="211"/>
      <c r="D136" s="211"/>
      <c r="E136" s="211"/>
      <c r="F136" s="88"/>
      <c r="G136" s="212"/>
      <c r="H136" s="212"/>
      <c r="I136" s="212"/>
      <c r="J136" s="211"/>
      <c r="K136" s="11">
        <f>IF('FF Balance'!H136&gt;=0,PPMT(EarningsRate,1,Components!K136,0,-'FF Balance'!G136,0),0)</f>
        <v>1643.9161113193022</v>
      </c>
      <c r="L136" s="11">
        <f>IF(Components!M136&gt;0,PPMT(EarningsRate,1,Components!$K136,0,-Components!M136*((1+InflationRate)^Components!$K136),0),K136)</f>
        <v>1643.9161113193022</v>
      </c>
      <c r="M136" s="11">
        <f>IF(Components!N136&gt;0,PPMT(EarningsRate,1,Components!$K136,0,-Components!N136*((1+InflationRate)^Components!$K136),0),L136)</f>
        <v>1643.9161113193022</v>
      </c>
      <c r="N136" s="11">
        <f>IF(Components!O136&gt;0,PPMT(EarningsRate,1,Components!$K136,0,-Components!O136*((1+InflationRate)^Components!$K136),0),M136)</f>
        <v>1643.9161113193022</v>
      </c>
      <c r="O136" s="11">
        <f>IF(Components!P136&gt;0,PPMT(EarningsRate,1,Components!$K136,0,-Components!P136*((1+InflationRate)^Components!$K136),0),N136)</f>
        <v>1643.9161113193022</v>
      </c>
      <c r="P136" s="11">
        <f>IF(Components!Q136&gt;0,PPMT(EarningsRate,1,Components!$K136,0,-Components!Q136*((1+InflationRate)^Components!$K136),0),O136)</f>
        <v>1643.9161113193022</v>
      </c>
      <c r="Q136" s="11">
        <f>IF(Components!R136&gt;0,PPMT(EarningsRate,1,Components!$K136,0,-Components!R136*((1+InflationRate)^Components!$K136),0),P136)</f>
        <v>1643.9161113193022</v>
      </c>
      <c r="R136" s="11">
        <f>IF(Components!S136&gt;0,PPMT(EarningsRate,1,Components!$K136,0,-Components!S136*((1+InflationRate)^Components!$K136),0),Q136)</f>
        <v>1643.9161113193022</v>
      </c>
      <c r="S136" s="11">
        <f>IF(Components!T136&gt;0,PPMT(EarningsRate,1,Components!$K136,0,-Components!T136*((1+InflationRate)^Components!$K136),0),R136)</f>
        <v>1643.9161113193022</v>
      </c>
      <c r="T136" s="11">
        <f>IF(Components!U136&gt;0,PPMT(EarningsRate,1,Components!$K136,0,-Components!U136*((1+InflationRate)^Components!$K136),0),S136)</f>
        <v>1643.9161113193022</v>
      </c>
      <c r="U136" s="11">
        <f>IF(Components!V136&gt;0,PPMT(EarningsRate,1,Components!$K136,0,-Components!V136*((1+InflationRate)^Components!$K136),0),T136)</f>
        <v>1643.9161113193022</v>
      </c>
      <c r="V136" s="11">
        <f>IF(Components!W136&gt;0,PPMT(EarningsRate,1,Components!$K136,0,-Components!W136*((1+InflationRate)^Components!$K136),0),U136)</f>
        <v>1643.9161113193022</v>
      </c>
      <c r="W136" s="11">
        <f>IF(Components!X136&gt;0,PPMT(EarningsRate,1,Components!$K136,0,-Components!X136*((1+InflationRate)^Components!$K136),0),V136)</f>
        <v>1643.9161113193022</v>
      </c>
      <c r="X136" s="11">
        <f>IF(Components!Y136&gt;0,PPMT(EarningsRate,1,Components!$K136,0,-Components!Y136*((1+InflationRate)^Components!$K136),0),W136)</f>
        <v>1643.9161113193022</v>
      </c>
      <c r="Y136" s="11">
        <f>IF(Components!Z136&gt;0,PPMT(EarningsRate,1,Components!$K136,0,-Components!Z136*((1+InflationRate)^Components!$K136),0),X136)</f>
        <v>1643.9161113193022</v>
      </c>
      <c r="Z136" s="11">
        <f>IF(Components!AA136&gt;0,PPMT(EarningsRate,1,Components!$K136,0,-Components!AA136*((1+InflationRate)^Components!$K136),0),Y136)</f>
        <v>1643.9161113193022</v>
      </c>
      <c r="AA136" s="11">
        <f>IF(Components!AB136&gt;0,PPMT(EarningsRate,1,Components!$K136,0,-Components!AB136*((1+InflationRate)^Components!$K136),0),Z136)</f>
        <v>1643.9161113193022</v>
      </c>
      <c r="AB136" s="11">
        <f>IF(Components!AC136&gt;0,PPMT(EarningsRate,1,Components!$K136,0,-Components!AC136*((1+InflationRate)^Components!$K136),0),AA136)</f>
        <v>1643.9161113193022</v>
      </c>
      <c r="AC136" s="11">
        <f>IF(Components!AD136&gt;0,PPMT(EarningsRate,1,Components!$K136,0,-Components!AD136*((1+InflationRate)^Components!$K136),0),AB136)</f>
        <v>1643.9161113193022</v>
      </c>
      <c r="AD136" s="11">
        <f>IF(Components!AE136&gt;0,PPMT(EarningsRate,1,Components!$K136,0,-Components!AE136*((1+InflationRate)^Components!$K136),0),AC136)</f>
        <v>1643.9161113193022</v>
      </c>
      <c r="AE136" s="11">
        <f>IF(Components!AF136&gt;0,PPMT(EarningsRate,1,Components!$K136,0,-Components!AF136*((1+InflationRate)^Components!$K136),0),AD136)</f>
        <v>3271.0459707752225</v>
      </c>
      <c r="AF136" s="11">
        <f>IF(Components!AG136&gt;0,PPMT(EarningsRate,1,Components!$K136,0,-Components!AG136*((1+InflationRate)^Components!$K136),0),AE136)</f>
        <v>3271.0459707752225</v>
      </c>
      <c r="AG136" s="11">
        <f>IF(Components!AH136&gt;0,PPMT(EarningsRate,1,Components!$K136,0,-Components!AH136*((1+InflationRate)^Components!$K136),0),AF136)</f>
        <v>3271.0459707752225</v>
      </c>
      <c r="AH136" s="11">
        <f>IF(Components!AI136&gt;0,PPMT(EarningsRate,1,Components!$K136,0,-Components!AI136*((1+InflationRate)^Components!$K136),0),AG136)</f>
        <v>3271.0459707752225</v>
      </c>
      <c r="AI136" s="11">
        <f>IF(Components!AJ136&gt;0,PPMT(EarningsRate,1,Components!$K136,0,-Components!AJ136*((1+InflationRate)^Components!$K136),0),AH136)</f>
        <v>3271.0459707752225</v>
      </c>
      <c r="AJ136" s="11">
        <f>IF(Components!AK136&gt;0,PPMT(EarningsRate,1,Components!$K136,0,-Components!AK136*((1+InflationRate)^Components!$K136),0),AI136)</f>
        <v>3271.0459707752225</v>
      </c>
      <c r="AK136" s="11">
        <f>IF(Components!AL136&gt;0,PPMT(EarningsRate,1,Components!$K136,0,-Components!AL136*((1+InflationRate)^Components!$K136),0),AJ136)</f>
        <v>3271.0459707752225</v>
      </c>
      <c r="AL136" s="11">
        <f>IF(Components!AM136&gt;0,PPMT(EarningsRate,1,Components!$K136,0,-Components!AM136*((1+InflationRate)^Components!$K136),0),AK136)</f>
        <v>3271.0459707752225</v>
      </c>
      <c r="AM136" s="11">
        <f>IF(Components!AN136&gt;0,PPMT(EarningsRate,1,Components!$K136,0,-Components!AN136*((1+InflationRate)^Components!$K136),0),AL136)</f>
        <v>3271.0459707752225</v>
      </c>
      <c r="AN136" s="11">
        <f>IF(Components!AO136&gt;0,PPMT(EarningsRate,1,Components!$K136,0,-Components!AO136*((1+InflationRate)^Components!$K136),0),AM136)</f>
        <v>3271.0459707752225</v>
      </c>
      <c r="AO136" s="11">
        <f>IF(Components!AP136&gt;0,PPMT(EarningsRate,1,Components!$K136,0,-Components!AP136*((1+InflationRate)^Components!$K136),0),AN136)</f>
        <v>3271.0459707752225</v>
      </c>
      <c r="AP136" s="214"/>
      <c r="AQ136" s="11">
        <f t="shared" si="3"/>
        <v>68859.828004913506</v>
      </c>
    </row>
    <row r="137" spans="1:43" s="1" customFormat="1">
      <c r="A137" s="220" t="str">
        <f>Components!B137</f>
        <v>Golf Equip</v>
      </c>
      <c r="B137" s="220" t="str">
        <f>Components!C137</f>
        <v>Blower</v>
      </c>
      <c r="C137" s="211"/>
      <c r="D137" s="211"/>
      <c r="E137" s="211"/>
      <c r="F137" s="88"/>
      <c r="G137" s="212"/>
      <c r="H137" s="212"/>
      <c r="I137" s="212"/>
      <c r="J137" s="211"/>
      <c r="K137" s="11">
        <f>IF('FF Balance'!H137&gt;=0,PPMT(EarningsRate,1,Components!K137,0,-'FF Balance'!G137,0),0)</f>
        <v>670.53597706791743</v>
      </c>
      <c r="L137" s="11">
        <f>IF(Components!M137&gt;0,PPMT(EarningsRate,1,Components!$K137,0,-Components!M137*((1+InflationRate)^Components!$K137),0),K137)</f>
        <v>670.53597706791743</v>
      </c>
      <c r="M137" s="11">
        <f>IF(Components!N137&gt;0,PPMT(EarningsRate,1,Components!$K137,0,-Components!N137*((1+InflationRate)^Components!$K137),0),L137)</f>
        <v>670.53597706791743</v>
      </c>
      <c r="N137" s="11">
        <f>IF(Components!O137&gt;0,PPMT(EarningsRate,1,Components!$K137,0,-Components!O137*((1+InflationRate)^Components!$K137),0),M137)</f>
        <v>670.53597706791743</v>
      </c>
      <c r="O137" s="11">
        <f>IF(Components!P137&gt;0,PPMT(EarningsRate,1,Components!$K137,0,-Components!P137*((1+InflationRate)^Components!$K137),0),N137)</f>
        <v>670.53597706791743</v>
      </c>
      <c r="P137" s="11">
        <f>IF(Components!Q137&gt;0,PPMT(EarningsRate,1,Components!$K137,0,-Components!Q137*((1+InflationRate)^Components!$K137),0),O137)</f>
        <v>670.53597706791743</v>
      </c>
      <c r="Q137" s="11">
        <f>IF(Components!R137&gt;0,PPMT(EarningsRate,1,Components!$K137,0,-Components!R137*((1+InflationRate)^Components!$K137),0),P137)</f>
        <v>670.53597706791743</v>
      </c>
      <c r="R137" s="11">
        <f>IF(Components!S137&gt;0,PPMT(EarningsRate,1,Components!$K137,0,-Components!S137*((1+InflationRate)^Components!$K137),0),Q137)</f>
        <v>670.53597706791743</v>
      </c>
      <c r="S137" s="11">
        <f>IF(Components!T137&gt;0,PPMT(EarningsRate,1,Components!$K137,0,-Components!T137*((1+InflationRate)^Components!$K137),0),R137)</f>
        <v>670.53597706791743</v>
      </c>
      <c r="T137" s="11">
        <f>IF(Components!U137&gt;0,PPMT(EarningsRate,1,Components!$K137,0,-Components!U137*((1+InflationRate)^Components!$K137),0),S137)</f>
        <v>670.53597706791743</v>
      </c>
      <c r="U137" s="11">
        <f>IF(Components!V137&gt;0,PPMT(EarningsRate,1,Components!$K137,0,-Components!V137*((1+InflationRate)^Components!$K137),0),T137)</f>
        <v>670.53597706791743</v>
      </c>
      <c r="V137" s="11">
        <f>IF(Components!W137&gt;0,PPMT(EarningsRate,1,Components!$K137,0,-Components!W137*((1+InflationRate)^Components!$K137),0),U137)</f>
        <v>1123.3816651579923</v>
      </c>
      <c r="W137" s="11">
        <f>IF(Components!X137&gt;0,PPMT(EarningsRate,1,Components!$K137,0,-Components!X137*((1+InflationRate)^Components!$K137),0),V137)</f>
        <v>1123.3816651579923</v>
      </c>
      <c r="X137" s="11">
        <f>IF(Components!Y137&gt;0,PPMT(EarningsRate,1,Components!$K137,0,-Components!Y137*((1+InflationRate)^Components!$K137),0),W137)</f>
        <v>1123.3816651579923</v>
      </c>
      <c r="Y137" s="11">
        <f>IF(Components!Z137&gt;0,PPMT(EarningsRate,1,Components!$K137,0,-Components!Z137*((1+InflationRate)^Components!$K137),0),X137)</f>
        <v>1123.3816651579923</v>
      </c>
      <c r="Z137" s="11">
        <f>IF(Components!AA137&gt;0,PPMT(EarningsRate,1,Components!$K137,0,-Components!AA137*((1+InflationRate)^Components!$K137),0),Y137)</f>
        <v>1123.3816651579923</v>
      </c>
      <c r="AA137" s="11">
        <f>IF(Components!AB137&gt;0,PPMT(EarningsRate,1,Components!$K137,0,-Components!AB137*((1+InflationRate)^Components!$K137),0),Z137)</f>
        <v>1123.3816651579923</v>
      </c>
      <c r="AB137" s="11">
        <f>IF(Components!AC137&gt;0,PPMT(EarningsRate,1,Components!$K137,0,-Components!AC137*((1+InflationRate)^Components!$K137),0),AA137)</f>
        <v>1123.3816651579923</v>
      </c>
      <c r="AC137" s="11">
        <f>IF(Components!AD137&gt;0,PPMT(EarningsRate,1,Components!$K137,0,-Components!AD137*((1+InflationRate)^Components!$K137),0),AB137)</f>
        <v>1123.3816651579923</v>
      </c>
      <c r="AD137" s="11">
        <f>IF(Components!AE137&gt;0,PPMT(EarningsRate,1,Components!$K137,0,-Components!AE137*((1+InflationRate)^Components!$K137),0),AC137)</f>
        <v>1123.3816651579923</v>
      </c>
      <c r="AE137" s="11">
        <f>IF(Components!AF137&gt;0,PPMT(EarningsRate,1,Components!$K137,0,-Components!AF137*((1+InflationRate)^Components!$K137),0),AD137)</f>
        <v>1123.3816651579923</v>
      </c>
      <c r="AF137" s="11">
        <f>IF(Components!AG137&gt;0,PPMT(EarningsRate,1,Components!$K137,0,-Components!AG137*((1+InflationRate)^Components!$K137),0),AE137)</f>
        <v>1123.3816651579923</v>
      </c>
      <c r="AG137" s="11">
        <f>IF(Components!AH137&gt;0,PPMT(EarningsRate,1,Components!$K137,0,-Components!AH137*((1+InflationRate)^Components!$K137),0),AF137)</f>
        <v>1123.3816651579923</v>
      </c>
      <c r="AH137" s="11">
        <f>IF(Components!AI137&gt;0,PPMT(EarningsRate,1,Components!$K137,0,-Components!AI137*((1+InflationRate)^Components!$K137),0),AG137)</f>
        <v>1123.3816651579923</v>
      </c>
      <c r="AI137" s="11">
        <f>IF(Components!AJ137&gt;0,PPMT(EarningsRate,1,Components!$K137,0,-Components!AJ137*((1+InflationRate)^Components!$K137),0),AH137)</f>
        <v>1123.3816651579923</v>
      </c>
      <c r="AJ137" s="11">
        <f>IF(Components!AK137&gt;0,PPMT(EarningsRate,1,Components!$K137,0,-Components!AK137*((1+InflationRate)^Components!$K137),0),AI137)</f>
        <v>1123.3816651579923</v>
      </c>
      <c r="AK137" s="11">
        <f>IF(Components!AL137&gt;0,PPMT(EarningsRate,1,Components!$K137,0,-Components!AL137*((1+InflationRate)^Components!$K137),0),AJ137)</f>
        <v>1882.0490088879792</v>
      </c>
      <c r="AL137" s="11">
        <f>IF(Components!AM137&gt;0,PPMT(EarningsRate,1,Components!$K137,0,-Components!AM137*((1+InflationRate)^Components!$K137),0),AK137)</f>
        <v>1882.0490088879792</v>
      </c>
      <c r="AM137" s="11">
        <f>IF(Components!AN137&gt;0,PPMT(EarningsRate,1,Components!$K137,0,-Components!AN137*((1+InflationRate)^Components!$K137),0),AL137)</f>
        <v>1882.0490088879792</v>
      </c>
      <c r="AN137" s="11">
        <f>IF(Components!AO137&gt;0,PPMT(EarningsRate,1,Components!$K137,0,-Components!AO137*((1+InflationRate)^Components!$K137),0),AM137)</f>
        <v>1882.0490088879792</v>
      </c>
      <c r="AO137" s="11">
        <f>IF(Components!AP137&gt;0,PPMT(EarningsRate,1,Components!$K137,0,-Components!AP137*((1+InflationRate)^Components!$K137),0),AN137)</f>
        <v>1882.0490088879792</v>
      </c>
      <c r="AP137" s="214"/>
      <c r="AQ137" s="11">
        <f t="shared" si="3"/>
        <v>33636.865869556859</v>
      </c>
    </row>
    <row r="138" spans="1:43" s="1" customFormat="1">
      <c r="A138" s="220" t="str">
        <f>Components!B138</f>
        <v>Golf Equip</v>
      </c>
      <c r="B138" s="220" t="str">
        <f>Components!C138</f>
        <v>Cart Washer</v>
      </c>
      <c r="C138" s="211"/>
      <c r="D138" s="211"/>
      <c r="E138" s="211"/>
      <c r="F138" s="88"/>
      <c r="G138" s="212"/>
      <c r="H138" s="212"/>
      <c r="I138" s="212"/>
      <c r="J138" s="211"/>
      <c r="K138" s="11">
        <f>IF('FF Balance'!H138&gt;=0,PPMT(EarningsRate,1,Components!K138,0,-'FF Balance'!G138,0),0)</f>
        <v>364.36247733561788</v>
      </c>
      <c r="L138" s="11">
        <f>IF(Components!M138&gt;0,PPMT(EarningsRate,1,Components!$K138,0,-Components!M138*((1+InflationRate)^Components!$K138),0),K138)</f>
        <v>569.84690459444812</v>
      </c>
      <c r="M138" s="11">
        <f>IF(Components!N138&gt;0,PPMT(EarningsRate,1,Components!$K138,0,-Components!N138*((1+InflationRate)^Components!$K138),0),L138)</f>
        <v>569.84690459444812</v>
      </c>
      <c r="N138" s="11">
        <f>IF(Components!O138&gt;0,PPMT(EarningsRate,1,Components!$K138,0,-Components!O138*((1+InflationRate)^Components!$K138),0),M138)</f>
        <v>569.84690459444812</v>
      </c>
      <c r="O138" s="11">
        <f>IF(Components!P138&gt;0,PPMT(EarningsRate,1,Components!$K138,0,-Components!P138*((1+InflationRate)^Components!$K138),0),N138)</f>
        <v>569.84690459444812</v>
      </c>
      <c r="P138" s="11">
        <f>IF(Components!Q138&gt;0,PPMT(EarningsRate,1,Components!$K138,0,-Components!Q138*((1+InflationRate)^Components!$K138),0),O138)</f>
        <v>569.84690459444812</v>
      </c>
      <c r="Q138" s="11">
        <f>IF(Components!R138&gt;0,PPMT(EarningsRate,1,Components!$K138,0,-Components!R138*((1+InflationRate)^Components!$K138),0),P138)</f>
        <v>569.84690459444812</v>
      </c>
      <c r="R138" s="11">
        <f>IF(Components!S138&gt;0,PPMT(EarningsRate,1,Components!$K138,0,-Components!S138*((1+InflationRate)^Components!$K138),0),Q138)</f>
        <v>569.84690459444812</v>
      </c>
      <c r="S138" s="11">
        <f>IF(Components!T138&gt;0,PPMT(EarningsRate,1,Components!$K138,0,-Components!T138*((1+InflationRate)^Components!$K138),0),R138)</f>
        <v>569.84690459444812</v>
      </c>
      <c r="T138" s="11">
        <f>IF(Components!U138&gt;0,PPMT(EarningsRate,1,Components!$K138,0,-Components!U138*((1+InflationRate)^Components!$K138),0),S138)</f>
        <v>569.84690459444812</v>
      </c>
      <c r="U138" s="11">
        <f>IF(Components!V138&gt;0,PPMT(EarningsRate,1,Components!$K138,0,-Components!V138*((1+InflationRate)^Components!$K138),0),T138)</f>
        <v>569.84690459444812</v>
      </c>
      <c r="V138" s="11">
        <f>IF(Components!W138&gt;0,PPMT(EarningsRate,1,Components!$K138,0,-Components!W138*((1+InflationRate)^Components!$K138),0),U138)</f>
        <v>569.84690459444812</v>
      </c>
      <c r="W138" s="11">
        <f>IF(Components!X138&gt;0,PPMT(EarningsRate,1,Components!$K138,0,-Components!X138*((1+InflationRate)^Components!$K138),0),V138)</f>
        <v>569.84690459444812</v>
      </c>
      <c r="X138" s="11">
        <f>IF(Components!Y138&gt;0,PPMT(EarningsRate,1,Components!$K138,0,-Components!Y138*((1+InflationRate)^Components!$K138),0),W138)</f>
        <v>569.84690459444812</v>
      </c>
      <c r="Y138" s="11">
        <f>IF(Components!Z138&gt;0,PPMT(EarningsRate,1,Components!$K138,0,-Components!Z138*((1+InflationRate)^Components!$K138),0),X138)</f>
        <v>891.19312448373648</v>
      </c>
      <c r="Z138" s="11">
        <f>IF(Components!AA138&gt;0,PPMT(EarningsRate,1,Components!$K138,0,-Components!AA138*((1+InflationRate)^Components!$K138),0),Y138)</f>
        <v>891.19312448373648</v>
      </c>
      <c r="AA138" s="11">
        <f>IF(Components!AB138&gt;0,PPMT(EarningsRate,1,Components!$K138,0,-Components!AB138*((1+InflationRate)^Components!$K138),0),Z138)</f>
        <v>891.19312448373648</v>
      </c>
      <c r="AB138" s="11">
        <f>IF(Components!AC138&gt;0,PPMT(EarningsRate,1,Components!$K138,0,-Components!AC138*((1+InflationRate)^Components!$K138),0),AA138)</f>
        <v>891.19312448373648</v>
      </c>
      <c r="AC138" s="11">
        <f>IF(Components!AD138&gt;0,PPMT(EarningsRate,1,Components!$K138,0,-Components!AD138*((1+InflationRate)^Components!$K138),0),AB138)</f>
        <v>891.19312448373648</v>
      </c>
      <c r="AD138" s="11">
        <f>IF(Components!AE138&gt;0,PPMT(EarningsRate,1,Components!$K138,0,-Components!AE138*((1+InflationRate)^Components!$K138),0),AC138)</f>
        <v>891.19312448373648</v>
      </c>
      <c r="AE138" s="11">
        <f>IF(Components!AF138&gt;0,PPMT(EarningsRate,1,Components!$K138,0,-Components!AF138*((1+InflationRate)^Components!$K138),0),AD138)</f>
        <v>891.19312448373648</v>
      </c>
      <c r="AF138" s="11">
        <f>IF(Components!AG138&gt;0,PPMT(EarningsRate,1,Components!$K138,0,-Components!AG138*((1+InflationRate)^Components!$K138),0),AE138)</f>
        <v>891.19312448373648</v>
      </c>
      <c r="AG138" s="11">
        <f>IF(Components!AH138&gt;0,PPMT(EarningsRate,1,Components!$K138,0,-Components!AH138*((1+InflationRate)^Components!$K138),0),AF138)</f>
        <v>891.19312448373648</v>
      </c>
      <c r="AH138" s="11">
        <f>IF(Components!AI138&gt;0,PPMT(EarningsRate,1,Components!$K138,0,-Components!AI138*((1+InflationRate)^Components!$K138),0),AG138)</f>
        <v>891.19312448373648</v>
      </c>
      <c r="AI138" s="11">
        <f>IF(Components!AJ138&gt;0,PPMT(EarningsRate,1,Components!$K138,0,-Components!AJ138*((1+InflationRate)^Components!$K138),0),AH138)</f>
        <v>891.19312448373648</v>
      </c>
      <c r="AJ138" s="11">
        <f>IF(Components!AK138&gt;0,PPMT(EarningsRate,1,Components!$K138,0,-Components!AK138*((1+InflationRate)^Components!$K138),0),AI138)</f>
        <v>891.19312448373648</v>
      </c>
      <c r="AK138" s="11">
        <f>IF(Components!AL138&gt;0,PPMT(EarningsRate,1,Components!$K138,0,-Components!AL138*((1+InflationRate)^Components!$K138),0),AJ138)</f>
        <v>891.19312448373648</v>
      </c>
      <c r="AL138" s="11">
        <f>IF(Components!AM138&gt;0,PPMT(EarningsRate,1,Components!$K138,0,-Components!AM138*((1+InflationRate)^Components!$K138),0),AK138)</f>
        <v>1393.806141226554</v>
      </c>
      <c r="AM138" s="11">
        <f>IF(Components!AN138&gt;0,PPMT(EarningsRate,1,Components!$K138,0,-Components!AN138*((1+InflationRate)^Components!$K138),0),AL138)</f>
        <v>1393.806141226554</v>
      </c>
      <c r="AN138" s="11">
        <f>IF(Components!AO138&gt;0,PPMT(EarningsRate,1,Components!$K138,0,-Components!AO138*((1+InflationRate)^Components!$K138),0),AM138)</f>
        <v>1393.806141226554</v>
      </c>
      <c r="AO138" s="11">
        <f>IF(Components!AP138&gt;0,PPMT(EarningsRate,1,Components!$K138,0,-Components!AP138*((1+InflationRate)^Components!$K138),0),AN138)</f>
        <v>1393.806141226554</v>
      </c>
      <c r="AP138" s="214"/>
      <c r="AQ138" s="11">
        <f t="shared" si="3"/>
        <v>24933.107520258225</v>
      </c>
    </row>
    <row r="139" spans="1:43" s="1" customFormat="1">
      <c r="A139" s="220" t="str">
        <f>Components!B139</f>
        <v>Golf Equip</v>
      </c>
      <c r="B139" s="220" t="str">
        <f>Components!C139</f>
        <v>Digger, Trencher</v>
      </c>
      <c r="C139" s="211"/>
      <c r="D139" s="211"/>
      <c r="E139" s="211"/>
      <c r="F139" s="88"/>
      <c r="G139" s="212"/>
      <c r="H139" s="212"/>
      <c r="I139" s="212"/>
      <c r="J139" s="211"/>
      <c r="K139" s="11">
        <f>IF('FF Balance'!H139&gt;=0,PPMT(EarningsRate,1,Components!K139,0,-'FF Balance'!G139,0),0)</f>
        <v>957.67088338066696</v>
      </c>
      <c r="L139" s="11">
        <f>IF(Components!M139&gt;0,PPMT(EarningsRate,1,Components!$K139,0,-Components!M139*((1+InflationRate)^Components!$K139),0),K139)</f>
        <v>957.67088338066696</v>
      </c>
      <c r="M139" s="11">
        <f>IF(Components!N139&gt;0,PPMT(EarningsRate,1,Components!$K139,0,-Components!N139*((1+InflationRate)^Components!$K139),0),L139)</f>
        <v>957.67088338066696</v>
      </c>
      <c r="N139" s="11">
        <f>IF(Components!O139&gt;0,PPMT(EarningsRate,1,Components!$K139,0,-Components!O139*((1+InflationRate)^Components!$K139),0),M139)</f>
        <v>957.67088338066696</v>
      </c>
      <c r="O139" s="11">
        <f>IF(Components!P139&gt;0,PPMT(EarningsRate,1,Components!$K139,0,-Components!P139*((1+InflationRate)^Components!$K139),0),N139)</f>
        <v>957.67088338066696</v>
      </c>
      <c r="P139" s="11">
        <f>IF(Components!Q139&gt;0,PPMT(EarningsRate,1,Components!$K139,0,-Components!Q139*((1+InflationRate)^Components!$K139),0),O139)</f>
        <v>957.67088338066696</v>
      </c>
      <c r="Q139" s="11">
        <f>IF(Components!R139&gt;0,PPMT(EarningsRate,1,Components!$K139,0,-Components!R139*((1+InflationRate)^Components!$K139),0),P139)</f>
        <v>957.67088338066696</v>
      </c>
      <c r="R139" s="11">
        <f>IF(Components!S139&gt;0,PPMT(EarningsRate,1,Components!$K139,0,-Components!S139*((1+InflationRate)^Components!$K139),0),Q139)</f>
        <v>957.67088338066696</v>
      </c>
      <c r="S139" s="11">
        <f>IF(Components!T139&gt;0,PPMT(EarningsRate,1,Components!$K139,0,-Components!T139*((1+InflationRate)^Components!$K139),0),R139)</f>
        <v>957.67088338066696</v>
      </c>
      <c r="T139" s="11">
        <f>IF(Components!U139&gt;0,PPMT(EarningsRate,1,Components!$K139,0,-Components!U139*((1+InflationRate)^Components!$K139),0),S139)</f>
        <v>957.67088338066696</v>
      </c>
      <c r="U139" s="11">
        <f>IF(Components!V139&gt;0,PPMT(EarningsRate,1,Components!$K139,0,-Components!V139*((1+InflationRate)^Components!$K139),0),T139)</f>
        <v>957.67088338066696</v>
      </c>
      <c r="V139" s="11">
        <f>IF(Components!W139&gt;0,PPMT(EarningsRate,1,Components!$K139,0,-Components!W139*((1+InflationRate)^Components!$K139),0),U139)</f>
        <v>957.67088338066696</v>
      </c>
      <c r="W139" s="11">
        <f>IF(Components!X139&gt;0,PPMT(EarningsRate,1,Components!$K139,0,-Components!X139*((1+InflationRate)^Components!$K139),0),V139)</f>
        <v>957.67088338066696</v>
      </c>
      <c r="X139" s="11">
        <f>IF(Components!Y139&gt;0,PPMT(EarningsRate,1,Components!$K139,0,-Components!Y139*((1+InflationRate)^Components!$K139),0),W139)</f>
        <v>957.67088338066696</v>
      </c>
      <c r="Y139" s="11">
        <f>IF(Components!Z139&gt;0,PPMT(EarningsRate,1,Components!$K139,0,-Components!Z139*((1+InflationRate)^Components!$K139),0),X139)</f>
        <v>957.67088338066696</v>
      </c>
      <c r="Z139" s="11">
        <f>IF(Components!AA139&gt;0,PPMT(EarningsRate,1,Components!$K139,0,-Components!AA139*((1+InflationRate)^Components!$K139),0),Y139)</f>
        <v>957.67088338066696</v>
      </c>
      <c r="AA139" s="11">
        <f>IF(Components!AB139&gt;0,PPMT(EarningsRate,1,Components!$K139,0,-Components!AB139*((1+InflationRate)^Components!$K139),0),Z139)</f>
        <v>1905.5628586163468</v>
      </c>
      <c r="AB139" s="11">
        <f>IF(Components!AC139&gt;0,PPMT(EarningsRate,1,Components!$K139,0,-Components!AC139*((1+InflationRate)^Components!$K139),0),AA139)</f>
        <v>1905.5628586163468</v>
      </c>
      <c r="AC139" s="11">
        <f>IF(Components!AD139&gt;0,PPMT(EarningsRate,1,Components!$K139,0,-Components!AD139*((1+InflationRate)^Components!$K139),0),AB139)</f>
        <v>1905.5628586163468</v>
      </c>
      <c r="AD139" s="11">
        <f>IF(Components!AE139&gt;0,PPMT(EarningsRate,1,Components!$K139,0,-Components!AE139*((1+InflationRate)^Components!$K139),0),AC139)</f>
        <v>1905.5628586163468</v>
      </c>
      <c r="AE139" s="11">
        <f>IF(Components!AF139&gt;0,PPMT(EarningsRate,1,Components!$K139,0,-Components!AF139*((1+InflationRate)^Components!$K139),0),AD139)</f>
        <v>1905.5628586163468</v>
      </c>
      <c r="AF139" s="11">
        <f>IF(Components!AG139&gt;0,PPMT(EarningsRate,1,Components!$K139,0,-Components!AG139*((1+InflationRate)^Components!$K139),0),AE139)</f>
        <v>1905.5628586163468</v>
      </c>
      <c r="AG139" s="11">
        <f>IF(Components!AH139&gt;0,PPMT(EarningsRate,1,Components!$K139,0,-Components!AH139*((1+InflationRate)^Components!$K139),0),AF139)</f>
        <v>1905.5628586163468</v>
      </c>
      <c r="AH139" s="11">
        <f>IF(Components!AI139&gt;0,PPMT(EarningsRate,1,Components!$K139,0,-Components!AI139*((1+InflationRate)^Components!$K139),0),AG139)</f>
        <v>1905.5628586163468</v>
      </c>
      <c r="AI139" s="11">
        <f>IF(Components!AJ139&gt;0,PPMT(EarningsRate,1,Components!$K139,0,-Components!AJ139*((1+InflationRate)^Components!$K139),0),AH139)</f>
        <v>1905.5628586163468</v>
      </c>
      <c r="AJ139" s="11">
        <f>IF(Components!AK139&gt;0,PPMT(EarningsRate,1,Components!$K139,0,-Components!AK139*((1+InflationRate)^Components!$K139),0),AI139)</f>
        <v>1905.5628586163468</v>
      </c>
      <c r="AK139" s="11">
        <f>IF(Components!AL139&gt;0,PPMT(EarningsRate,1,Components!$K139,0,-Components!AL139*((1+InflationRate)^Components!$K139),0),AJ139)</f>
        <v>1905.5628586163468</v>
      </c>
      <c r="AL139" s="11">
        <f>IF(Components!AM139&gt;0,PPMT(EarningsRate,1,Components!$K139,0,-Components!AM139*((1+InflationRate)^Components!$K139),0),AK139)</f>
        <v>1905.5628586163468</v>
      </c>
      <c r="AM139" s="11">
        <f>IF(Components!AN139&gt;0,PPMT(EarningsRate,1,Components!$K139,0,-Components!AN139*((1+InflationRate)^Components!$K139),0),AL139)</f>
        <v>1905.5628586163468</v>
      </c>
      <c r="AN139" s="11">
        <f>IF(Components!AO139&gt;0,PPMT(EarningsRate,1,Components!$K139,0,-Components!AO139*((1+InflationRate)^Components!$K139),0),AM139)</f>
        <v>1905.5628586163468</v>
      </c>
      <c r="AO139" s="11">
        <f>IF(Components!AP139&gt;0,PPMT(EarningsRate,1,Components!$K139,0,-Components!AP139*((1+InflationRate)^Components!$K139),0),AN139)</f>
        <v>1905.5628586163468</v>
      </c>
      <c r="AP139" s="214"/>
      <c r="AQ139" s="11">
        <f t="shared" si="3"/>
        <v>43906.177113335856</v>
      </c>
    </row>
    <row r="140" spans="1:43" s="1" customFormat="1">
      <c r="A140" s="220" t="str">
        <f>Components!B140</f>
        <v>Golf Equip</v>
      </c>
      <c r="B140" s="220" t="str">
        <f>Components!C140</f>
        <v>Dresser, top</v>
      </c>
      <c r="C140" s="211"/>
      <c r="D140" s="211"/>
      <c r="E140" s="211"/>
      <c r="F140" s="88"/>
      <c r="G140" s="212"/>
      <c r="H140" s="212"/>
      <c r="I140" s="212"/>
      <c r="J140" s="211"/>
      <c r="K140" s="11">
        <f>IF('FF Balance'!H140&gt;=0,PPMT(EarningsRate,1,Components!K140,0,-'FF Balance'!G140,0),0)</f>
        <v>663.46626952194242</v>
      </c>
      <c r="L140" s="11">
        <f>IF(Components!M140&gt;0,PPMT(EarningsRate,1,Components!$K140,0,-Components!M140*((1+InflationRate)^Components!$K140),0),K140)</f>
        <v>663.46626952194242</v>
      </c>
      <c r="M140" s="11">
        <f>IF(Components!N140&gt;0,PPMT(EarningsRate,1,Components!$K140,0,-Components!N140*((1+InflationRate)^Components!$K140),0),L140)</f>
        <v>663.46626952194242</v>
      </c>
      <c r="N140" s="11">
        <f>IF(Components!O140&gt;0,PPMT(EarningsRate,1,Components!$K140,0,-Components!O140*((1+InflationRate)^Components!$K140),0),M140)</f>
        <v>663.46626952194242</v>
      </c>
      <c r="O140" s="11">
        <f>IF(Components!P140&gt;0,PPMT(EarningsRate,1,Components!$K140,0,-Components!P140*((1+InflationRate)^Components!$K140),0),N140)</f>
        <v>663.46626952194242</v>
      </c>
      <c r="P140" s="11">
        <f>IF(Components!Q140&gt;0,PPMT(EarningsRate,1,Components!$K140,0,-Components!Q140*((1+InflationRate)^Components!$K140),0),O140)</f>
        <v>663.46626952194242</v>
      </c>
      <c r="Q140" s="11">
        <f>IF(Components!R140&gt;0,PPMT(EarningsRate,1,Components!$K140,0,-Components!R140*((1+InflationRate)^Components!$K140),0),P140)</f>
        <v>663.46626952194242</v>
      </c>
      <c r="R140" s="11">
        <f>IF(Components!S140&gt;0,PPMT(EarningsRate,1,Components!$K140,0,-Components!S140*((1+InflationRate)^Components!$K140),0),Q140)</f>
        <v>663.46626952194242</v>
      </c>
      <c r="S140" s="11">
        <f>IF(Components!T140&gt;0,PPMT(EarningsRate,1,Components!$K140,0,-Components!T140*((1+InflationRate)^Components!$K140),0),R140)</f>
        <v>663.46626952194242</v>
      </c>
      <c r="T140" s="11">
        <f>IF(Components!U140&gt;0,PPMT(EarningsRate,1,Components!$K140,0,-Components!U140*((1+InflationRate)^Components!$K140),0),S140)</f>
        <v>663.46626952194242</v>
      </c>
      <c r="U140" s="11">
        <f>IF(Components!V140&gt;0,PPMT(EarningsRate,1,Components!$K140,0,-Components!V140*((1+InflationRate)^Components!$K140),0),T140)</f>
        <v>663.46626952194242</v>
      </c>
      <c r="V140" s="11">
        <f>IF(Components!W140&gt;0,PPMT(EarningsRate,1,Components!$K140,0,-Components!W140*((1+InflationRate)^Components!$K140),0),U140)</f>
        <v>663.46626952194242</v>
      </c>
      <c r="W140" s="11">
        <f>IF(Components!X140&gt;0,PPMT(EarningsRate,1,Components!$K140,0,-Components!X140*((1+InflationRate)^Components!$K140),0),V140)</f>
        <v>663.46626952194242</v>
      </c>
      <c r="X140" s="11">
        <f>IF(Components!Y140&gt;0,PPMT(EarningsRate,1,Components!$K140,0,-Components!Y140*((1+InflationRate)^Components!$K140),0),W140)</f>
        <v>663.46626952194242</v>
      </c>
      <c r="Y140" s="11">
        <f>IF(Components!Z140&gt;0,PPMT(EarningsRate,1,Components!$K140,0,-Components!Z140*((1+InflationRate)^Components!$K140),0),X140)</f>
        <v>663.46626952194242</v>
      </c>
      <c r="Z140" s="11">
        <f>IF(Components!AA140&gt;0,PPMT(EarningsRate,1,Components!$K140,0,-Components!AA140*((1+InflationRate)^Components!$K140),0),Y140)</f>
        <v>663.46626952194242</v>
      </c>
      <c r="AA140" s="11">
        <f>IF(Components!AB140&gt;0,PPMT(EarningsRate,1,Components!$K140,0,-Components!AB140*((1+InflationRate)^Components!$K140),0),Z140)</f>
        <v>663.46626952194242</v>
      </c>
      <c r="AB140" s="11">
        <f>IF(Components!AC140&gt;0,PPMT(EarningsRate,1,Components!$K140,0,-Components!AC140*((1+InflationRate)^Components!$K140),0),AA140)</f>
        <v>663.46626952194242</v>
      </c>
      <c r="AC140" s="11">
        <f>IF(Components!AD140&gt;0,PPMT(EarningsRate,1,Components!$K140,0,-Components!AD140*((1+InflationRate)^Components!$K140),0),AB140)</f>
        <v>1514.9114335054051</v>
      </c>
      <c r="AD140" s="11">
        <f>IF(Components!AE140&gt;0,PPMT(EarningsRate,1,Components!$K140,0,-Components!AE140*((1+InflationRate)^Components!$K140),0),AC140)</f>
        <v>1514.9114335054051</v>
      </c>
      <c r="AE140" s="11">
        <f>IF(Components!AF140&gt;0,PPMT(EarningsRate,1,Components!$K140,0,-Components!AF140*((1+InflationRate)^Components!$K140),0),AD140)</f>
        <v>1514.9114335054051</v>
      </c>
      <c r="AF140" s="11">
        <f>IF(Components!AG140&gt;0,PPMT(EarningsRate,1,Components!$K140,0,-Components!AG140*((1+InflationRate)^Components!$K140),0),AE140)</f>
        <v>1514.9114335054051</v>
      </c>
      <c r="AG140" s="11">
        <f>IF(Components!AH140&gt;0,PPMT(EarningsRate,1,Components!$K140,0,-Components!AH140*((1+InflationRate)^Components!$K140),0),AF140)</f>
        <v>1514.9114335054051</v>
      </c>
      <c r="AH140" s="11">
        <f>IF(Components!AI140&gt;0,PPMT(EarningsRate,1,Components!$K140,0,-Components!AI140*((1+InflationRate)^Components!$K140),0),AG140)</f>
        <v>1514.9114335054051</v>
      </c>
      <c r="AI140" s="11">
        <f>IF(Components!AJ140&gt;0,PPMT(EarningsRate,1,Components!$K140,0,-Components!AJ140*((1+InflationRate)^Components!$K140),0),AH140)</f>
        <v>1514.9114335054051</v>
      </c>
      <c r="AJ140" s="11">
        <f>IF(Components!AK140&gt;0,PPMT(EarningsRate,1,Components!$K140,0,-Components!AK140*((1+InflationRate)^Components!$K140),0),AI140)</f>
        <v>1514.9114335054051</v>
      </c>
      <c r="AK140" s="11">
        <f>IF(Components!AL140&gt;0,PPMT(EarningsRate,1,Components!$K140,0,-Components!AL140*((1+InflationRate)^Components!$K140),0),AJ140)</f>
        <v>1514.9114335054051</v>
      </c>
      <c r="AL140" s="11">
        <f>IF(Components!AM140&gt;0,PPMT(EarningsRate,1,Components!$K140,0,-Components!AM140*((1+InflationRate)^Components!$K140),0),AK140)</f>
        <v>1514.9114335054051</v>
      </c>
      <c r="AM140" s="11">
        <f>IF(Components!AN140&gt;0,PPMT(EarningsRate,1,Components!$K140,0,-Components!AN140*((1+InflationRate)^Components!$K140),0),AL140)</f>
        <v>1514.9114335054051</v>
      </c>
      <c r="AN140" s="11">
        <f>IF(Components!AO140&gt;0,PPMT(EarningsRate,1,Components!$K140,0,-Components!AO140*((1+InflationRate)^Components!$K140),0),AM140)</f>
        <v>1514.9114335054051</v>
      </c>
      <c r="AO140" s="11">
        <f>IF(Components!AP140&gt;0,PPMT(EarningsRate,1,Components!$K140,0,-Components!AP140*((1+InflationRate)^Components!$K140),0),AN140)</f>
        <v>1514.9114335054051</v>
      </c>
      <c r="AP140" s="214"/>
      <c r="AQ140" s="11">
        <f t="shared" si="3"/>
        <v>31636.241586965218</v>
      </c>
    </row>
    <row r="141" spans="1:43" s="1" customFormat="1">
      <c r="A141" s="220" t="str">
        <f>Components!B141</f>
        <v>Golf Equip</v>
      </c>
      <c r="B141" s="220" t="str">
        <f>Components!C141</f>
        <v>Golf cart Electric</v>
      </c>
      <c r="C141" s="211"/>
      <c r="D141" s="211"/>
      <c r="E141" s="211"/>
      <c r="F141" s="88"/>
      <c r="G141" s="212"/>
      <c r="H141" s="212"/>
      <c r="I141" s="212"/>
      <c r="J141" s="211"/>
      <c r="K141" s="11">
        <f>IF('FF Balance'!H141&gt;=0,PPMT(EarningsRate,1,Components!K141,0,-'FF Balance'!G141,0),0)</f>
        <v>17822.675015692435</v>
      </c>
      <c r="L141" s="11">
        <f>IF(Components!M141&gt;0,PPMT(EarningsRate,1,Components!$K141,0,-Components!M141*((1+InflationRate)^Components!$K141),0),K141)</f>
        <v>17822.675015692435</v>
      </c>
      <c r="M141" s="11">
        <f>IF(Components!N141&gt;0,PPMT(EarningsRate,1,Components!$K141,0,-Components!N141*((1+InflationRate)^Components!$K141),0),L141)</f>
        <v>17822.675015692435</v>
      </c>
      <c r="N141" s="11">
        <f>IF(Components!O141&gt;0,PPMT(EarningsRate,1,Components!$K141,0,-Components!O141*((1+InflationRate)^Components!$K141),0),M141)</f>
        <v>17822.675015692435</v>
      </c>
      <c r="O141" s="11">
        <f>IF(Components!P141&gt;0,PPMT(EarningsRate,1,Components!$K141,0,-Components!P141*((1+InflationRate)^Components!$K141),0),N141)</f>
        <v>17822.675015692435</v>
      </c>
      <c r="P141" s="11">
        <f>IF(Components!Q141&gt;0,PPMT(EarningsRate,1,Components!$K141,0,-Components!Q141*((1+InflationRate)^Components!$K141),0),O141)</f>
        <v>26931.285606282894</v>
      </c>
      <c r="Q141" s="11">
        <f>IF(Components!R141&gt;0,PPMT(EarningsRate,1,Components!$K141,0,-Components!R141*((1+InflationRate)^Components!$K141),0),P141)</f>
        <v>26931.285606282894</v>
      </c>
      <c r="R141" s="11">
        <f>IF(Components!S141&gt;0,PPMT(EarningsRate,1,Components!$K141,0,-Components!S141*((1+InflationRate)^Components!$K141),0),Q141)</f>
        <v>26931.285606282894</v>
      </c>
      <c r="S141" s="11">
        <f>IF(Components!T141&gt;0,PPMT(EarningsRate,1,Components!$K141,0,-Components!T141*((1+InflationRate)^Components!$K141),0),R141)</f>
        <v>26931.285606282894</v>
      </c>
      <c r="T141" s="11">
        <f>IF(Components!U141&gt;0,PPMT(EarningsRate,1,Components!$K141,0,-Components!U141*((1+InflationRate)^Components!$K141),0),S141)</f>
        <v>26931.285606282894</v>
      </c>
      <c r="U141" s="11">
        <f>IF(Components!V141&gt;0,PPMT(EarningsRate,1,Components!$K141,0,-Components!V141*((1+InflationRate)^Components!$K141),0),T141)</f>
        <v>26931.285606282894</v>
      </c>
      <c r="V141" s="11">
        <f>IF(Components!W141&gt;0,PPMT(EarningsRate,1,Components!$K141,0,-Components!W141*((1+InflationRate)^Components!$K141),0),U141)</f>
        <v>26931.285606282894</v>
      </c>
      <c r="W141" s="11">
        <f>IF(Components!X141&gt;0,PPMT(EarningsRate,1,Components!$K141,0,-Components!X141*((1+InflationRate)^Components!$K141),0),V141)</f>
        <v>26931.285606282894</v>
      </c>
      <c r="X141" s="11">
        <f>IF(Components!Y141&gt;0,PPMT(EarningsRate,1,Components!$K141,0,-Components!Y141*((1+InflationRate)^Components!$K141),0),W141)</f>
        <v>26931.285606282894</v>
      </c>
      <c r="Y141" s="11">
        <f>IF(Components!Z141&gt;0,PPMT(EarningsRate,1,Components!$K141,0,-Components!Z141*((1+InflationRate)^Components!$K141),0),X141)</f>
        <v>26931.285606282894</v>
      </c>
      <c r="Z141" s="11">
        <f>IF(Components!AA141&gt;0,PPMT(EarningsRate,1,Components!$K141,0,-Components!AA141*((1+InflationRate)^Components!$K141),0),Y141)</f>
        <v>26931.285606282894</v>
      </c>
      <c r="AA141" s="11">
        <f>IF(Components!AB141&gt;0,PPMT(EarningsRate,1,Components!$K141,0,-Components!AB141*((1+InflationRate)^Components!$K141),0),Z141)</f>
        <v>26931.285606282894</v>
      </c>
      <c r="AB141" s="11">
        <f>IF(Components!AC141&gt;0,PPMT(EarningsRate,1,Components!$K141,0,-Components!AC141*((1+InflationRate)^Components!$K141),0),AA141)</f>
        <v>40694.935047495761</v>
      </c>
      <c r="AC141" s="11">
        <f>IF(Components!AD141&gt;0,PPMT(EarningsRate,1,Components!$K141,0,-Components!AD141*((1+InflationRate)^Components!$K141),0),AB141)</f>
        <v>40694.935047495761</v>
      </c>
      <c r="AD141" s="11">
        <f>IF(Components!AE141&gt;0,PPMT(EarningsRate,1,Components!$K141,0,-Components!AE141*((1+InflationRate)^Components!$K141),0),AC141)</f>
        <v>40694.935047495761</v>
      </c>
      <c r="AE141" s="11">
        <f>IF(Components!AF141&gt;0,PPMT(EarningsRate,1,Components!$K141,0,-Components!AF141*((1+InflationRate)^Components!$K141),0),AD141)</f>
        <v>40694.935047495761</v>
      </c>
      <c r="AF141" s="11">
        <f>IF(Components!AG141&gt;0,PPMT(EarningsRate,1,Components!$K141,0,-Components!AG141*((1+InflationRate)^Components!$K141),0),AE141)</f>
        <v>40694.935047495761</v>
      </c>
      <c r="AG141" s="11">
        <f>IF(Components!AH141&gt;0,PPMT(EarningsRate,1,Components!$K141,0,-Components!AH141*((1+InflationRate)^Components!$K141),0),AF141)</f>
        <v>40694.935047495761</v>
      </c>
      <c r="AH141" s="11">
        <f>IF(Components!AI141&gt;0,PPMT(EarningsRate,1,Components!$K141,0,-Components!AI141*((1+InflationRate)^Components!$K141),0),AG141)</f>
        <v>40694.935047495761</v>
      </c>
      <c r="AI141" s="11">
        <f>IF(Components!AJ141&gt;0,PPMT(EarningsRate,1,Components!$K141,0,-Components!AJ141*((1+InflationRate)^Components!$K141),0),AH141)</f>
        <v>40694.935047495761</v>
      </c>
      <c r="AJ141" s="11">
        <f>IF(Components!AK141&gt;0,PPMT(EarningsRate,1,Components!$K141,0,-Components!AK141*((1+InflationRate)^Components!$K141),0),AI141)</f>
        <v>40694.935047495761</v>
      </c>
      <c r="AK141" s="11">
        <f>IF(Components!AL141&gt;0,PPMT(EarningsRate,1,Components!$K141,0,-Components!AL141*((1+InflationRate)^Components!$K141),0),AJ141)</f>
        <v>40694.935047495761</v>
      </c>
      <c r="AL141" s="11">
        <f>IF(Components!AM141&gt;0,PPMT(EarningsRate,1,Components!$K141,0,-Components!AM141*((1+InflationRate)^Components!$K141),0),AK141)</f>
        <v>40694.935047495761</v>
      </c>
      <c r="AM141" s="11">
        <f>IF(Components!AN141&gt;0,PPMT(EarningsRate,1,Components!$K141,0,-Components!AN141*((1+InflationRate)^Components!$K141),0),AL141)</f>
        <v>40694.935047495761</v>
      </c>
      <c r="AN141" s="11">
        <f>IF(Components!AO141&gt;0,PPMT(EarningsRate,1,Components!$K141,0,-Components!AO141*((1+InflationRate)^Components!$K141),0),AM141)</f>
        <v>61492.885538042574</v>
      </c>
      <c r="AO141" s="11">
        <f>IF(Components!AP141&gt;0,PPMT(EarningsRate,1,Components!$K141,0,-Components!AP141*((1+InflationRate)^Components!$K141),0),AN141)</f>
        <v>61492.885538042574</v>
      </c>
      <c r="AP141" s="214"/>
      <c r="AQ141" s="11">
        <f t="shared" si="3"/>
        <v>1023613.7940998909</v>
      </c>
    </row>
    <row r="142" spans="1:43" s="1" customFormat="1">
      <c r="A142" s="220" t="str">
        <f>Components!B142</f>
        <v>Golf Equip</v>
      </c>
      <c r="B142" s="220" t="str">
        <f>Components!C142</f>
        <v>Golf cart Fleet Batteries (6 per cart)</v>
      </c>
      <c r="C142" s="211"/>
      <c r="D142" s="211"/>
      <c r="E142" s="211"/>
      <c r="F142" s="88"/>
      <c r="G142" s="212"/>
      <c r="H142" s="212"/>
      <c r="I142" s="212"/>
      <c r="J142" s="211"/>
      <c r="K142" s="11">
        <f>IF('FF Balance'!H142&gt;=0,PPMT(EarningsRate,1,Components!K142,0,-'FF Balance'!G142,0),0)</f>
        <v>10553.632005806046</v>
      </c>
      <c r="L142" s="11">
        <f>IF(Components!M142&gt;0,PPMT(EarningsRate,1,Components!$K142,0,-Components!M142*((1+InflationRate)^Components!$K142),0),K142)</f>
        <v>12110.535466794587</v>
      </c>
      <c r="M142" s="11">
        <f>IF(Components!N142&gt;0,PPMT(EarningsRate,1,Components!$K142,0,-Components!N142*((1+InflationRate)^Components!$K142),0),L142)</f>
        <v>12110.535466794587</v>
      </c>
      <c r="N142" s="11">
        <f>IF(Components!O142&gt;0,PPMT(EarningsRate,1,Components!$K142,0,-Components!O142*((1+InflationRate)^Components!$K142),0),M142)</f>
        <v>12110.535466794587</v>
      </c>
      <c r="O142" s="11">
        <f>IF(Components!P142&gt;0,PPMT(EarningsRate,1,Components!$K142,0,-Components!P142*((1+InflationRate)^Components!$K142),0),N142)</f>
        <v>12110.535466794587</v>
      </c>
      <c r="P142" s="11">
        <f>IF(Components!Q142&gt;0,PPMT(EarningsRate,1,Components!$K142,0,-Components!Q142*((1+InflationRate)^Components!$K142),0),O142)</f>
        <v>13897.244633865012</v>
      </c>
      <c r="Q142" s="11">
        <f>IF(Components!R142&gt;0,PPMT(EarningsRate,1,Components!$K142,0,-Components!R142*((1+InflationRate)^Components!$K142),0),P142)</f>
        <v>13897.244633865012</v>
      </c>
      <c r="R142" s="11">
        <f>IF(Components!S142&gt;0,PPMT(EarningsRate,1,Components!$K142,0,-Components!S142*((1+InflationRate)^Components!$K142),0),Q142)</f>
        <v>13897.244633865012</v>
      </c>
      <c r="S142" s="11">
        <f>IF(Components!T142&gt;0,PPMT(EarningsRate,1,Components!$K142,0,-Components!T142*((1+InflationRate)^Components!$K142),0),R142)</f>
        <v>13897.244633865012</v>
      </c>
      <c r="T142" s="11">
        <f>IF(Components!U142&gt;0,PPMT(EarningsRate,1,Components!$K142,0,-Components!U142*((1+InflationRate)^Components!$K142),0),S142)</f>
        <v>15947.220267594172</v>
      </c>
      <c r="U142" s="11">
        <f>IF(Components!V142&gt;0,PPMT(EarningsRate,1,Components!$K142,0,-Components!V142*((1+InflationRate)^Components!$K142),0),T142)</f>
        <v>15947.220267594172</v>
      </c>
      <c r="V142" s="11">
        <f>IF(Components!W142&gt;0,PPMT(EarningsRate,1,Components!$K142,0,-Components!W142*((1+InflationRate)^Components!$K142),0),U142)</f>
        <v>15947.220267594172</v>
      </c>
      <c r="W142" s="11">
        <f>IF(Components!X142&gt;0,PPMT(EarningsRate,1,Components!$K142,0,-Components!X142*((1+InflationRate)^Components!$K142),0),V142)</f>
        <v>15947.220267594172</v>
      </c>
      <c r="X142" s="11">
        <f>IF(Components!Y142&gt;0,PPMT(EarningsRate,1,Components!$K142,0,-Components!Y142*((1+InflationRate)^Components!$K142),0),W142)</f>
        <v>18299.938437956233</v>
      </c>
      <c r="Y142" s="11">
        <f>IF(Components!Z142&gt;0,PPMT(EarningsRate,1,Components!$K142,0,-Components!Z142*((1+InflationRate)^Components!$K142),0),X142)</f>
        <v>18299.938437956233</v>
      </c>
      <c r="Z142" s="11">
        <f>IF(Components!AA142&gt;0,PPMT(EarningsRate,1,Components!$K142,0,-Components!AA142*((1+InflationRate)^Components!$K142),0),Y142)</f>
        <v>18299.938437956233</v>
      </c>
      <c r="AA142" s="11">
        <f>IF(Components!AB142&gt;0,PPMT(EarningsRate,1,Components!$K142,0,-Components!AB142*((1+InflationRate)^Components!$K142),0),Z142)</f>
        <v>18299.938437956233</v>
      </c>
      <c r="AB142" s="11">
        <f>IF(Components!AC142&gt;0,PPMT(EarningsRate,1,Components!$K142,0,-Components!AC142*((1+InflationRate)^Components!$K142),0),AA142)</f>
        <v>20999.601223302565</v>
      </c>
      <c r="AC142" s="11">
        <f>IF(Components!AD142&gt;0,PPMT(EarningsRate,1,Components!$K142,0,-Components!AD142*((1+InflationRate)^Components!$K142),0),AB142)</f>
        <v>20999.601223302565</v>
      </c>
      <c r="AD142" s="11">
        <f>IF(Components!AE142&gt;0,PPMT(EarningsRate,1,Components!$K142,0,-Components!AE142*((1+InflationRate)^Components!$K142),0),AC142)</f>
        <v>20999.601223302565</v>
      </c>
      <c r="AE142" s="11">
        <f>IF(Components!AF142&gt;0,PPMT(EarningsRate,1,Components!$K142,0,-Components!AF142*((1+InflationRate)^Components!$K142),0),AD142)</f>
        <v>20999.601223302565</v>
      </c>
      <c r="AF142" s="11">
        <f>IF(Components!AG142&gt;0,PPMT(EarningsRate,1,Components!$K142,0,-Components!AG142*((1+InflationRate)^Components!$K142),0),AE142)</f>
        <v>24097.360714303919</v>
      </c>
      <c r="AG142" s="11">
        <f>IF(Components!AH142&gt;0,PPMT(EarningsRate,1,Components!$K142,0,-Components!AH142*((1+InflationRate)^Components!$K142),0),AF142)</f>
        <v>24097.360714303919</v>
      </c>
      <c r="AH142" s="11">
        <f>IF(Components!AI142&gt;0,PPMT(EarningsRate,1,Components!$K142,0,-Components!AI142*((1+InflationRate)^Components!$K142),0),AG142)</f>
        <v>24097.360714303919</v>
      </c>
      <c r="AI142" s="11">
        <f>IF(Components!AJ142&gt;0,PPMT(EarningsRate,1,Components!$K142,0,-Components!AJ142*((1+InflationRate)^Components!$K142),0),AH142)</f>
        <v>24097.360714303919</v>
      </c>
      <c r="AJ142" s="11">
        <f>IF(Components!AK142&gt;0,PPMT(EarningsRate,1,Components!$K142,0,-Components!AK142*((1+InflationRate)^Components!$K142),0),AI142)</f>
        <v>27652.43101592156</v>
      </c>
      <c r="AK142" s="11">
        <f>IF(Components!AL142&gt;0,PPMT(EarningsRate,1,Components!$K142,0,-Components!AL142*((1+InflationRate)^Components!$K142),0),AJ142)</f>
        <v>27652.43101592156</v>
      </c>
      <c r="AL142" s="11">
        <f>IF(Components!AM142&gt;0,PPMT(EarningsRate,1,Components!$K142,0,-Components!AM142*((1+InflationRate)^Components!$K142),0),AK142)</f>
        <v>27652.43101592156</v>
      </c>
      <c r="AM142" s="11">
        <f>IF(Components!AN142&gt;0,PPMT(EarningsRate,1,Components!$K142,0,-Components!AN142*((1+InflationRate)^Components!$K142),0),AL142)</f>
        <v>27652.43101592156</v>
      </c>
      <c r="AN142" s="11">
        <f>IF(Components!AO142&gt;0,PPMT(EarningsRate,1,Components!$K142,0,-Components!AO142*((1+InflationRate)^Components!$K142),0),AM142)</f>
        <v>31731.810246914461</v>
      </c>
      <c r="AO142" s="11">
        <f>IF(Components!AP142&gt;0,PPMT(EarningsRate,1,Components!$K142,0,-Components!AP142*((1+InflationRate)^Components!$K142),0),AN142)</f>
        <v>31731.810246914461</v>
      </c>
      <c r="AP142" s="214"/>
      <c r="AQ142" s="11">
        <f t="shared" si="3"/>
        <v>606034.57963858719</v>
      </c>
    </row>
    <row r="143" spans="1:43" s="1" customFormat="1">
      <c r="A143" s="220" t="str">
        <f>Components!B143</f>
        <v>Golf Equip</v>
      </c>
      <c r="B143" s="220" t="str">
        <f>Components!C143</f>
        <v>Golf equipment lift</v>
      </c>
      <c r="C143" s="211"/>
      <c r="D143" s="211"/>
      <c r="E143" s="211"/>
      <c r="F143" s="88"/>
      <c r="G143" s="212"/>
      <c r="H143" s="212"/>
      <c r="I143" s="212"/>
      <c r="J143" s="211"/>
      <c r="K143" s="11">
        <f>IF('FF Balance'!H143&gt;=0,PPMT(EarningsRate,1,Components!K143,0,-'FF Balance'!G143,0),0)</f>
        <v>796.95886040162884</v>
      </c>
      <c r="L143" s="11">
        <f>IF(Components!M143&gt;0,PPMT(EarningsRate,1,Components!$K143,0,-Components!M143*((1+InflationRate)^Components!$K143),0),K143)</f>
        <v>796.95886040162884</v>
      </c>
      <c r="M143" s="11">
        <f>IF(Components!N143&gt;0,PPMT(EarningsRate,1,Components!$K143,0,-Components!N143*((1+InflationRate)^Components!$K143),0),L143)</f>
        <v>796.95886040162884</v>
      </c>
      <c r="N143" s="11">
        <f>IF(Components!O143&gt;0,PPMT(EarningsRate,1,Components!$K143,0,-Components!O143*((1+InflationRate)^Components!$K143),0),M143)</f>
        <v>796.95886040162884</v>
      </c>
      <c r="O143" s="11">
        <f>IF(Components!P143&gt;0,PPMT(EarningsRate,1,Components!$K143,0,-Components!P143*((1+InflationRate)^Components!$K143),0),N143)</f>
        <v>796.95886040162884</v>
      </c>
      <c r="P143" s="11">
        <f>IF(Components!Q143&gt;0,PPMT(EarningsRate,1,Components!$K143,0,-Components!Q143*((1+InflationRate)^Components!$K143),0),O143)</f>
        <v>796.95886040162884</v>
      </c>
      <c r="Q143" s="11">
        <f>IF(Components!R143&gt;0,PPMT(EarningsRate,1,Components!$K143,0,-Components!R143*((1+InflationRate)^Components!$K143),0),P143)</f>
        <v>796.95886040162884</v>
      </c>
      <c r="R143" s="11">
        <f>IF(Components!S143&gt;0,PPMT(EarningsRate,1,Components!$K143,0,-Components!S143*((1+InflationRate)^Components!$K143),0),Q143)</f>
        <v>796.95886040162884</v>
      </c>
      <c r="S143" s="11">
        <f>IF(Components!T143&gt;0,PPMT(EarningsRate,1,Components!$K143,0,-Components!T143*((1+InflationRate)^Components!$K143),0),R143)</f>
        <v>796.95886040162884</v>
      </c>
      <c r="T143" s="11">
        <f>IF(Components!U143&gt;0,PPMT(EarningsRate,1,Components!$K143,0,-Components!U143*((1+InflationRate)^Components!$K143),0),S143)</f>
        <v>796.95886040162884</v>
      </c>
      <c r="U143" s="11">
        <f>IF(Components!V143&gt;0,PPMT(EarningsRate,1,Components!$K143,0,-Components!V143*((1+InflationRate)^Components!$K143),0),T143)</f>
        <v>796.95886040162884</v>
      </c>
      <c r="V143" s="11">
        <f>IF(Components!W143&gt;0,PPMT(EarningsRate,1,Components!$K143,0,-Components!W143*((1+InflationRate)^Components!$K143),0),U143)</f>
        <v>796.95886040162884</v>
      </c>
      <c r="W143" s="11">
        <f>IF(Components!X143&gt;0,PPMT(EarningsRate,1,Components!$K143,0,-Components!X143*((1+InflationRate)^Components!$K143),0),V143)</f>
        <v>796.95886040162884</v>
      </c>
      <c r="X143" s="11">
        <f>IF(Components!Y143&gt;0,PPMT(EarningsRate,1,Components!$K143,0,-Components!Y143*((1+InflationRate)^Components!$K143),0),W143)</f>
        <v>796.95886040162884</v>
      </c>
      <c r="Y143" s="11">
        <f>IF(Components!Z143&gt;0,PPMT(EarningsRate,1,Components!$K143,0,-Components!Z143*((1+InflationRate)^Components!$K143),0),X143)</f>
        <v>796.95886040162884</v>
      </c>
      <c r="Z143" s="11">
        <f>IF(Components!AA143&gt;0,PPMT(EarningsRate,1,Components!$K143,0,-Components!AA143*((1+InflationRate)^Components!$K143),0),Y143)</f>
        <v>796.95886040162884</v>
      </c>
      <c r="AA143" s="11">
        <f>IF(Components!AB143&gt;0,PPMT(EarningsRate,1,Components!$K143,0,-Components!AB143*((1+InflationRate)^Components!$K143),0),Z143)</f>
        <v>796.95886040162884</v>
      </c>
      <c r="AB143" s="11">
        <f>IF(Components!AC143&gt;0,PPMT(EarningsRate,1,Components!$K143,0,-Components!AC143*((1+InflationRate)^Components!$K143),0),AA143)</f>
        <v>796.95886040162884</v>
      </c>
      <c r="AC143" s="11">
        <f>IF(Components!AD143&gt;0,PPMT(EarningsRate,1,Components!$K143,0,-Components!AD143*((1+InflationRate)^Components!$K143),0),AB143)</f>
        <v>796.95886040162884</v>
      </c>
      <c r="AD143" s="11">
        <f>IF(Components!AE143&gt;0,PPMT(EarningsRate,1,Components!$K143,0,-Components!AE143*((1+InflationRate)^Components!$K143),0),AC143)</f>
        <v>796.95886040162884</v>
      </c>
      <c r="AE143" s="11">
        <f>IF(Components!AF143&gt;0,PPMT(EarningsRate,1,Components!$K143,0,-Components!AF143*((1+InflationRate)^Components!$K143),0),AD143)</f>
        <v>1585.7798650675904</v>
      </c>
      <c r="AF143" s="11">
        <f>IF(Components!AG143&gt;0,PPMT(EarningsRate,1,Components!$K143,0,-Components!AG143*((1+InflationRate)^Components!$K143),0),AE143)</f>
        <v>1585.7798650675904</v>
      </c>
      <c r="AG143" s="11">
        <f>IF(Components!AH143&gt;0,PPMT(EarningsRate,1,Components!$K143,0,-Components!AH143*((1+InflationRate)^Components!$K143),0),AF143)</f>
        <v>1585.7798650675904</v>
      </c>
      <c r="AH143" s="11">
        <f>IF(Components!AI143&gt;0,PPMT(EarningsRate,1,Components!$K143,0,-Components!AI143*((1+InflationRate)^Components!$K143),0),AG143)</f>
        <v>1585.7798650675904</v>
      </c>
      <c r="AI143" s="11">
        <f>IF(Components!AJ143&gt;0,PPMT(EarningsRate,1,Components!$K143,0,-Components!AJ143*((1+InflationRate)^Components!$K143),0),AH143)</f>
        <v>1585.7798650675904</v>
      </c>
      <c r="AJ143" s="11">
        <f>IF(Components!AK143&gt;0,PPMT(EarningsRate,1,Components!$K143,0,-Components!AK143*((1+InflationRate)^Components!$K143),0),AI143)</f>
        <v>1585.7798650675904</v>
      </c>
      <c r="AK143" s="11">
        <f>IF(Components!AL143&gt;0,PPMT(EarningsRate,1,Components!$K143,0,-Components!AL143*((1+InflationRate)^Components!$K143),0),AJ143)</f>
        <v>1585.7798650675904</v>
      </c>
      <c r="AL143" s="11">
        <f>IF(Components!AM143&gt;0,PPMT(EarningsRate,1,Components!$K143,0,-Components!AM143*((1+InflationRate)^Components!$K143),0),AK143)</f>
        <v>1585.7798650675904</v>
      </c>
      <c r="AM143" s="11">
        <f>IF(Components!AN143&gt;0,PPMT(EarningsRate,1,Components!$K143,0,-Components!AN143*((1+InflationRate)^Components!$K143),0),AL143)</f>
        <v>1585.7798650675904</v>
      </c>
      <c r="AN143" s="11">
        <f>IF(Components!AO143&gt;0,PPMT(EarningsRate,1,Components!$K143,0,-Components!AO143*((1+InflationRate)^Components!$K143),0),AM143)</f>
        <v>1585.7798650675904</v>
      </c>
      <c r="AO143" s="11">
        <f>IF(Components!AP143&gt;0,PPMT(EarningsRate,1,Components!$K143,0,-Components!AP143*((1+InflationRate)^Components!$K143),0),AN143)</f>
        <v>1585.7798650675904</v>
      </c>
      <c r="AP143" s="214"/>
      <c r="AQ143" s="11">
        <f t="shared" si="3"/>
        <v>33382.75582377606</v>
      </c>
    </row>
    <row r="144" spans="1:43" s="1" customFormat="1">
      <c r="A144" s="220" t="str">
        <f>Components!B144</f>
        <v>Golf Equip</v>
      </c>
      <c r="B144" s="220" t="str">
        <f>Components!C144</f>
        <v>Grinder, Reel</v>
      </c>
      <c r="C144" s="211"/>
      <c r="D144" s="211"/>
      <c r="E144" s="211"/>
      <c r="F144" s="88"/>
      <c r="G144" s="212"/>
      <c r="H144" s="212"/>
      <c r="I144" s="212"/>
      <c r="J144" s="211"/>
      <c r="K144" s="11">
        <f>IF('FF Balance'!H144&gt;=0,PPMT(EarningsRate,1,Components!K144,0,-'FF Balance'!G144,0),0)</f>
        <v>2654.0218750085969</v>
      </c>
      <c r="L144" s="11">
        <f>IF(Components!M144&gt;0,PPMT(EarningsRate,1,Components!$K144,0,-Components!M144*((1+InflationRate)^Components!$K144),0),K144)</f>
        <v>4602.0368806643264</v>
      </c>
      <c r="M144" s="11">
        <f>IF(Components!N144&gt;0,PPMT(EarningsRate,1,Components!$K144,0,-Components!N144*((1+InflationRate)^Components!$K144),0),L144)</f>
        <v>4602.0368806643264</v>
      </c>
      <c r="N144" s="11">
        <f>IF(Components!O144&gt;0,PPMT(EarningsRate,1,Components!$K144,0,-Components!O144*((1+InflationRate)^Components!$K144),0),M144)</f>
        <v>4602.0368806643264</v>
      </c>
      <c r="O144" s="11">
        <f>IF(Components!P144&gt;0,PPMT(EarningsRate,1,Components!$K144,0,-Components!P144*((1+InflationRate)^Components!$K144),0),N144)</f>
        <v>4602.0368806643264</v>
      </c>
      <c r="P144" s="11">
        <f>IF(Components!Q144&gt;0,PPMT(EarningsRate,1,Components!$K144,0,-Components!Q144*((1+InflationRate)^Components!$K144),0),O144)</f>
        <v>4602.0368806643264</v>
      </c>
      <c r="Q144" s="11">
        <f>IF(Components!R144&gt;0,PPMT(EarningsRate,1,Components!$K144,0,-Components!R144*((1+InflationRate)^Components!$K144),0),P144)</f>
        <v>4602.0368806643264</v>
      </c>
      <c r="R144" s="11">
        <f>IF(Components!S144&gt;0,PPMT(EarningsRate,1,Components!$K144,0,-Components!S144*((1+InflationRate)^Components!$K144),0),Q144)</f>
        <v>4602.0368806643264</v>
      </c>
      <c r="S144" s="11">
        <f>IF(Components!T144&gt;0,PPMT(EarningsRate,1,Components!$K144,0,-Components!T144*((1+InflationRate)^Components!$K144),0),R144)</f>
        <v>4602.0368806643264</v>
      </c>
      <c r="T144" s="11">
        <f>IF(Components!U144&gt;0,PPMT(EarningsRate,1,Components!$K144,0,-Components!U144*((1+InflationRate)^Components!$K144),0),S144)</f>
        <v>4602.0368806643264</v>
      </c>
      <c r="U144" s="11">
        <f>IF(Components!V144&gt;0,PPMT(EarningsRate,1,Components!$K144,0,-Components!V144*((1+InflationRate)^Components!$K144),0),T144)</f>
        <v>4602.0368806643264</v>
      </c>
      <c r="V144" s="11">
        <f>IF(Components!W144&gt;0,PPMT(EarningsRate,1,Components!$K144,0,-Components!W144*((1+InflationRate)^Components!$K144),0),U144)</f>
        <v>4602.0368806643264</v>
      </c>
      <c r="W144" s="11">
        <f>IF(Components!X144&gt;0,PPMT(EarningsRate,1,Components!$K144,0,-Components!X144*((1+InflationRate)^Components!$K144),0),V144)</f>
        <v>4602.0368806643264</v>
      </c>
      <c r="X144" s="11">
        <f>IF(Components!Y144&gt;0,PPMT(EarningsRate,1,Components!$K144,0,-Components!Y144*((1+InflationRate)^Components!$K144),0),W144)</f>
        <v>4602.0368806643264</v>
      </c>
      <c r="Y144" s="11">
        <f>IF(Components!Z144&gt;0,PPMT(EarningsRate,1,Components!$K144,0,-Components!Z144*((1+InflationRate)^Components!$K144),0),X144)</f>
        <v>4602.0368806643264</v>
      </c>
      <c r="Z144" s="11">
        <f>IF(Components!AA144&gt;0,PPMT(EarningsRate,1,Components!$K144,0,-Components!AA144*((1+InflationRate)^Components!$K144),0),Y144)</f>
        <v>4602.0368806643264</v>
      </c>
      <c r="AA144" s="11">
        <f>IF(Components!AB144&gt;0,PPMT(EarningsRate,1,Components!$K144,0,-Components!AB144*((1+InflationRate)^Components!$K144),0),Z144)</f>
        <v>4602.0368806643264</v>
      </c>
      <c r="AB144" s="11">
        <f>IF(Components!AC144&gt;0,PPMT(EarningsRate,1,Components!$K144,0,-Components!AC144*((1+InflationRate)^Components!$K144),0),AA144)</f>
        <v>7979.879335265663</v>
      </c>
      <c r="AC144" s="11">
        <f>IF(Components!AD144&gt;0,PPMT(EarningsRate,1,Components!$K144,0,-Components!AD144*((1+InflationRate)^Components!$K144),0),AB144)</f>
        <v>7979.879335265663</v>
      </c>
      <c r="AD144" s="11">
        <f>IF(Components!AE144&gt;0,PPMT(EarningsRate,1,Components!$K144,0,-Components!AE144*((1+InflationRate)^Components!$K144),0),AC144)</f>
        <v>7979.879335265663</v>
      </c>
      <c r="AE144" s="11">
        <f>IF(Components!AF144&gt;0,PPMT(EarningsRate,1,Components!$K144,0,-Components!AF144*((1+InflationRate)^Components!$K144),0),AD144)</f>
        <v>7979.879335265663</v>
      </c>
      <c r="AF144" s="11">
        <f>IF(Components!AG144&gt;0,PPMT(EarningsRate,1,Components!$K144,0,-Components!AG144*((1+InflationRate)^Components!$K144),0),AE144)</f>
        <v>7979.879335265663</v>
      </c>
      <c r="AG144" s="11">
        <f>IF(Components!AH144&gt;0,PPMT(EarningsRate,1,Components!$K144,0,-Components!AH144*((1+InflationRate)^Components!$K144),0),AF144)</f>
        <v>7979.879335265663</v>
      </c>
      <c r="AH144" s="11">
        <f>IF(Components!AI144&gt;0,PPMT(EarningsRate,1,Components!$K144,0,-Components!AI144*((1+InflationRate)^Components!$K144),0),AG144)</f>
        <v>7979.879335265663</v>
      </c>
      <c r="AI144" s="11">
        <f>IF(Components!AJ144&gt;0,PPMT(EarningsRate,1,Components!$K144,0,-Components!AJ144*((1+InflationRate)^Components!$K144),0),AH144)</f>
        <v>7979.879335265663</v>
      </c>
      <c r="AJ144" s="11">
        <f>IF(Components!AK144&gt;0,PPMT(EarningsRate,1,Components!$K144,0,-Components!AK144*((1+InflationRate)^Components!$K144),0),AI144)</f>
        <v>7979.879335265663</v>
      </c>
      <c r="AK144" s="11">
        <f>IF(Components!AL144&gt;0,PPMT(EarningsRate,1,Components!$K144,0,-Components!AL144*((1+InflationRate)^Components!$K144),0),AJ144)</f>
        <v>7979.879335265663</v>
      </c>
      <c r="AL144" s="11">
        <f>IF(Components!AM144&gt;0,PPMT(EarningsRate,1,Components!$K144,0,-Components!AM144*((1+InflationRate)^Components!$K144),0),AK144)</f>
        <v>7979.879335265663</v>
      </c>
      <c r="AM144" s="11">
        <f>IF(Components!AN144&gt;0,PPMT(EarningsRate,1,Components!$K144,0,-Components!AN144*((1+InflationRate)^Components!$K144),0),AL144)</f>
        <v>7979.879335265663</v>
      </c>
      <c r="AN144" s="11">
        <f>IF(Components!AO144&gt;0,PPMT(EarningsRate,1,Components!$K144,0,-Components!AO144*((1+InflationRate)^Components!$K144),0),AM144)</f>
        <v>7979.879335265663</v>
      </c>
      <c r="AO144" s="11">
        <f>IF(Components!AP144&gt;0,PPMT(EarningsRate,1,Components!$K144,0,-Components!AP144*((1+InflationRate)^Components!$K144),0),AN144)</f>
        <v>7979.879335265663</v>
      </c>
      <c r="AP144" s="214"/>
      <c r="AQ144" s="11">
        <f t="shared" si="3"/>
        <v>188004.92275935711</v>
      </c>
    </row>
    <row r="145" spans="1:43" s="1" customFormat="1">
      <c r="A145" s="220" t="str">
        <f>Components!B145</f>
        <v>Golf Equip</v>
      </c>
      <c r="B145" s="220" t="str">
        <f>Components!C145</f>
        <v>HD Utility Vehicle # 603</v>
      </c>
      <c r="C145" s="211"/>
      <c r="D145" s="211"/>
      <c r="E145" s="211"/>
      <c r="F145" s="88"/>
      <c r="G145" s="212"/>
      <c r="H145" s="212"/>
      <c r="I145" s="212"/>
      <c r="J145" s="211"/>
      <c r="K145" s="11">
        <f>IF('FF Balance'!H145&gt;=0,PPMT(EarningsRate,1,Components!K145,0,-'FF Balance'!G145,0),0)</f>
        <v>3243.7524303137507</v>
      </c>
      <c r="L145" s="11">
        <f>IF(Components!M145&gt;0,PPMT(EarningsRate,1,Components!$K145,0,-Components!M145*((1+InflationRate)^Components!$K145),0),K145)</f>
        <v>3243.7524303137507</v>
      </c>
      <c r="M145" s="11">
        <f>IF(Components!N145&gt;0,PPMT(EarningsRate,1,Components!$K145,0,-Components!N145*((1+InflationRate)^Components!$K145),0),L145)</f>
        <v>3243.7524303137507</v>
      </c>
      <c r="N145" s="11">
        <f>IF(Components!O145&gt;0,PPMT(EarningsRate,1,Components!$K145,0,-Components!O145*((1+InflationRate)^Components!$K145),0),M145)</f>
        <v>3243.7524303137507</v>
      </c>
      <c r="O145" s="11">
        <f>IF(Components!P145&gt;0,PPMT(EarningsRate,1,Components!$K145,0,-Components!P145*((1+InflationRate)^Components!$K145),0),N145)</f>
        <v>3243.7524303137507</v>
      </c>
      <c r="P145" s="11">
        <f>IF(Components!Q145&gt;0,PPMT(EarningsRate,1,Components!$K145,0,-Components!Q145*((1+InflationRate)^Components!$K145),0),O145)</f>
        <v>3243.7524303137507</v>
      </c>
      <c r="Q145" s="11">
        <f>IF(Components!R145&gt;0,PPMT(EarningsRate,1,Components!$K145,0,-Components!R145*((1+InflationRate)^Components!$K145),0),P145)</f>
        <v>3243.7524303137507</v>
      </c>
      <c r="R145" s="11">
        <f>IF(Components!S145&gt;0,PPMT(EarningsRate,1,Components!$K145,0,-Components!S145*((1+InflationRate)^Components!$K145),0),Q145)</f>
        <v>3243.7524303137507</v>
      </c>
      <c r="S145" s="11">
        <f>IF(Components!T145&gt;0,PPMT(EarningsRate,1,Components!$K145,0,-Components!T145*((1+InflationRate)^Components!$K145),0),R145)</f>
        <v>3243.7524303137507</v>
      </c>
      <c r="T145" s="11">
        <f>IF(Components!U145&gt;0,PPMT(EarningsRate,1,Components!$K145,0,-Components!U145*((1+InflationRate)^Components!$K145),0),S145)</f>
        <v>4575.6331579623256</v>
      </c>
      <c r="U145" s="11">
        <f>IF(Components!V145&gt;0,PPMT(EarningsRate,1,Components!$K145,0,-Components!V145*((1+InflationRate)^Components!$K145),0),T145)</f>
        <v>4575.6331579623256</v>
      </c>
      <c r="V145" s="11">
        <f>IF(Components!W145&gt;0,PPMT(EarningsRate,1,Components!$K145,0,-Components!W145*((1+InflationRate)^Components!$K145),0),U145)</f>
        <v>4575.6331579623256</v>
      </c>
      <c r="W145" s="11">
        <f>IF(Components!X145&gt;0,PPMT(EarningsRate,1,Components!$K145,0,-Components!X145*((1+InflationRate)^Components!$K145),0),V145)</f>
        <v>4575.6331579623256</v>
      </c>
      <c r="X145" s="11">
        <f>IF(Components!Y145&gt;0,PPMT(EarningsRate,1,Components!$K145,0,-Components!Y145*((1+InflationRate)^Components!$K145),0),W145)</f>
        <v>4575.6331579623256</v>
      </c>
      <c r="Y145" s="11">
        <f>IF(Components!Z145&gt;0,PPMT(EarningsRate,1,Components!$K145,0,-Components!Z145*((1+InflationRate)^Components!$K145),0),X145)</f>
        <v>4575.6331579623256</v>
      </c>
      <c r="Z145" s="11">
        <f>IF(Components!AA145&gt;0,PPMT(EarningsRate,1,Components!$K145,0,-Components!AA145*((1+InflationRate)^Components!$K145),0),Y145)</f>
        <v>4575.6331579623256</v>
      </c>
      <c r="AA145" s="11">
        <f>IF(Components!AB145&gt;0,PPMT(EarningsRate,1,Components!$K145,0,-Components!AB145*((1+InflationRate)^Components!$K145),0),Z145)</f>
        <v>4575.6331579623256</v>
      </c>
      <c r="AB145" s="11">
        <f>IF(Components!AC145&gt;0,PPMT(EarningsRate,1,Components!$K145,0,-Components!AC145*((1+InflationRate)^Components!$K145),0),AA145)</f>
        <v>4575.6331579623256</v>
      </c>
      <c r="AC145" s="11">
        <f>IF(Components!AD145&gt;0,PPMT(EarningsRate,1,Components!$K145,0,-Components!AD145*((1+InflationRate)^Components!$K145),0),AB145)</f>
        <v>4575.6331579623256</v>
      </c>
      <c r="AD145" s="11">
        <f>IF(Components!AE145&gt;0,PPMT(EarningsRate,1,Components!$K145,0,-Components!AE145*((1+InflationRate)^Components!$K145),0),AC145)</f>
        <v>6454.4370423071041</v>
      </c>
      <c r="AE145" s="11">
        <f>IF(Components!AF145&gt;0,PPMT(EarningsRate,1,Components!$K145,0,-Components!AF145*((1+InflationRate)^Components!$K145),0),AD145)</f>
        <v>6454.4370423071041</v>
      </c>
      <c r="AF145" s="11">
        <f>IF(Components!AG145&gt;0,PPMT(EarningsRate,1,Components!$K145,0,-Components!AG145*((1+InflationRate)^Components!$K145),0),AE145)</f>
        <v>6454.4370423071041</v>
      </c>
      <c r="AG145" s="11">
        <f>IF(Components!AH145&gt;0,PPMT(EarningsRate,1,Components!$K145,0,-Components!AH145*((1+InflationRate)^Components!$K145),0),AF145)</f>
        <v>6454.4370423071041</v>
      </c>
      <c r="AH145" s="11">
        <f>IF(Components!AI145&gt;0,PPMT(EarningsRate,1,Components!$K145,0,-Components!AI145*((1+InflationRate)^Components!$K145),0),AG145)</f>
        <v>6454.4370423071041</v>
      </c>
      <c r="AI145" s="11">
        <f>IF(Components!AJ145&gt;0,PPMT(EarningsRate,1,Components!$K145,0,-Components!AJ145*((1+InflationRate)^Components!$K145),0),AH145)</f>
        <v>6454.4370423071041</v>
      </c>
      <c r="AJ145" s="11">
        <f>IF(Components!AK145&gt;0,PPMT(EarningsRate,1,Components!$K145,0,-Components!AK145*((1+InflationRate)^Components!$K145),0),AI145)</f>
        <v>6454.4370423071041</v>
      </c>
      <c r="AK145" s="11">
        <f>IF(Components!AL145&gt;0,PPMT(EarningsRate,1,Components!$K145,0,-Components!AL145*((1+InflationRate)^Components!$K145),0),AJ145)</f>
        <v>6454.4370423071041</v>
      </c>
      <c r="AL145" s="11">
        <f>IF(Components!AM145&gt;0,PPMT(EarningsRate,1,Components!$K145,0,-Components!AM145*((1+InflationRate)^Components!$K145),0),AK145)</f>
        <v>6454.4370423071041</v>
      </c>
      <c r="AM145" s="11">
        <f>IF(Components!AN145&gt;0,PPMT(EarningsRate,1,Components!$K145,0,-Components!AN145*((1+InflationRate)^Components!$K145),0),AL145)</f>
        <v>6454.4370423071041</v>
      </c>
      <c r="AN145" s="11">
        <f>IF(Components!AO145&gt;0,PPMT(EarningsRate,1,Components!$K145,0,-Components!AO145*((1+InflationRate)^Components!$K145),0),AM145)</f>
        <v>9104.5879585496259</v>
      </c>
      <c r="AO145" s="11">
        <f>IF(Components!AP145&gt;0,PPMT(EarningsRate,1,Components!$K145,0,-Components!AP145*((1+InflationRate)^Components!$K145),0),AN145)</f>
        <v>9104.5879585496259</v>
      </c>
      <c r="AP145" s="214"/>
      <c r="AQ145" s="11">
        <f t="shared" si="3"/>
        <v>157703.64989261731</v>
      </c>
    </row>
    <row r="146" spans="1:43" s="1" customFormat="1">
      <c r="A146" s="220" t="str">
        <f>Components!B146</f>
        <v>Golf Equip</v>
      </c>
      <c r="B146" s="220" t="str">
        <f>Components!C146</f>
        <v>HD Utility Vehicle # 614</v>
      </c>
      <c r="C146" s="211"/>
      <c r="D146" s="211"/>
      <c r="E146" s="211"/>
      <c r="F146" s="88"/>
      <c r="G146" s="212"/>
      <c r="H146" s="212"/>
      <c r="I146" s="212"/>
      <c r="J146" s="211"/>
      <c r="K146" s="11">
        <f>IF('FF Balance'!H146&gt;=0,PPMT(EarningsRate,1,Components!K146,0,-'FF Balance'!G146,0),0)</f>
        <v>2897.1133782472075</v>
      </c>
      <c r="L146" s="11">
        <f>IF(Components!M146&gt;0,PPMT(EarningsRate,1,Components!$K146,0,-Components!M146*((1+InflationRate)^Components!$K146),0),K146)</f>
        <v>2897.1133782472075</v>
      </c>
      <c r="M146" s="11">
        <f>IF(Components!N146&gt;0,PPMT(EarningsRate,1,Components!$K146,0,-Components!N146*((1+InflationRate)^Components!$K146),0),L146)</f>
        <v>2897.1133782472075</v>
      </c>
      <c r="N146" s="11">
        <f>IF(Components!O146&gt;0,PPMT(EarningsRate,1,Components!$K146,0,-Components!O146*((1+InflationRate)^Components!$K146),0),M146)</f>
        <v>2897.1133782472075</v>
      </c>
      <c r="O146" s="11">
        <f>IF(Components!P146&gt;0,PPMT(EarningsRate,1,Components!$K146,0,-Components!P146*((1+InflationRate)^Components!$K146),0),N146)</f>
        <v>2897.1133782472075</v>
      </c>
      <c r="P146" s="11">
        <f>IF(Components!Q146&gt;0,PPMT(EarningsRate,1,Components!$K146,0,-Components!Q146*((1+InflationRate)^Components!$K146),0),O146)</f>
        <v>4086.6645407343799</v>
      </c>
      <c r="Q146" s="11">
        <f>IF(Components!R146&gt;0,PPMT(EarningsRate,1,Components!$K146,0,-Components!R146*((1+InflationRate)^Components!$K146),0),P146)</f>
        <v>4086.6645407343799</v>
      </c>
      <c r="R146" s="11">
        <f>IF(Components!S146&gt;0,PPMT(EarningsRate,1,Components!$K146,0,-Components!S146*((1+InflationRate)^Components!$K146),0),Q146)</f>
        <v>4086.6645407343799</v>
      </c>
      <c r="S146" s="11">
        <f>IF(Components!T146&gt;0,PPMT(EarningsRate,1,Components!$K146,0,-Components!T146*((1+InflationRate)^Components!$K146),0),R146)</f>
        <v>4086.6645407343799</v>
      </c>
      <c r="T146" s="11">
        <f>IF(Components!U146&gt;0,PPMT(EarningsRate,1,Components!$K146,0,-Components!U146*((1+InflationRate)^Components!$K146),0),S146)</f>
        <v>4086.6645407343799</v>
      </c>
      <c r="U146" s="11">
        <f>IF(Components!V146&gt;0,PPMT(EarningsRate,1,Components!$K146,0,-Components!V146*((1+InflationRate)^Components!$K146),0),T146)</f>
        <v>4086.6645407343799</v>
      </c>
      <c r="V146" s="11">
        <f>IF(Components!W146&gt;0,PPMT(EarningsRate,1,Components!$K146,0,-Components!W146*((1+InflationRate)^Components!$K146),0),U146)</f>
        <v>4086.6645407343799</v>
      </c>
      <c r="W146" s="11">
        <f>IF(Components!X146&gt;0,PPMT(EarningsRate,1,Components!$K146,0,-Components!X146*((1+InflationRate)^Components!$K146),0),V146)</f>
        <v>4086.6645407343799</v>
      </c>
      <c r="X146" s="11">
        <f>IF(Components!Y146&gt;0,PPMT(EarningsRate,1,Components!$K146,0,-Components!Y146*((1+InflationRate)^Components!$K146),0),W146)</f>
        <v>4086.6645407343799</v>
      </c>
      <c r="Y146" s="11">
        <f>IF(Components!Z146&gt;0,PPMT(EarningsRate,1,Components!$K146,0,-Components!Z146*((1+InflationRate)^Components!$K146),0),X146)</f>
        <v>4086.6645407343799</v>
      </c>
      <c r="Z146" s="11">
        <f>IF(Components!AA146&gt;0,PPMT(EarningsRate,1,Components!$K146,0,-Components!AA146*((1+InflationRate)^Components!$K146),0),Y146)</f>
        <v>5764.777135815656</v>
      </c>
      <c r="AA146" s="11">
        <f>IF(Components!AB146&gt;0,PPMT(EarningsRate,1,Components!$K146,0,-Components!AB146*((1+InflationRate)^Components!$K146),0),Z146)</f>
        <v>5764.777135815656</v>
      </c>
      <c r="AB146" s="11">
        <f>IF(Components!AC146&gt;0,PPMT(EarningsRate,1,Components!$K146,0,-Components!AC146*((1+InflationRate)^Components!$K146),0),AA146)</f>
        <v>5764.777135815656</v>
      </c>
      <c r="AC146" s="11">
        <f>IF(Components!AD146&gt;0,PPMT(EarningsRate,1,Components!$K146,0,-Components!AD146*((1+InflationRate)^Components!$K146),0),AB146)</f>
        <v>5764.777135815656</v>
      </c>
      <c r="AD146" s="11">
        <f>IF(Components!AE146&gt;0,PPMT(EarningsRate,1,Components!$K146,0,-Components!AE146*((1+InflationRate)^Components!$K146),0),AC146)</f>
        <v>5764.777135815656</v>
      </c>
      <c r="AE146" s="11">
        <f>IF(Components!AF146&gt;0,PPMT(EarningsRate,1,Components!$K146,0,-Components!AF146*((1+InflationRate)^Components!$K146),0),AD146)</f>
        <v>5764.777135815656</v>
      </c>
      <c r="AF146" s="11">
        <f>IF(Components!AG146&gt;0,PPMT(EarningsRate,1,Components!$K146,0,-Components!AG146*((1+InflationRate)^Components!$K146),0),AE146)</f>
        <v>5764.777135815656</v>
      </c>
      <c r="AG146" s="11">
        <f>IF(Components!AH146&gt;0,PPMT(EarningsRate,1,Components!$K146,0,-Components!AH146*((1+InflationRate)^Components!$K146),0),AF146)</f>
        <v>5764.777135815656</v>
      </c>
      <c r="AH146" s="11">
        <f>IF(Components!AI146&gt;0,PPMT(EarningsRate,1,Components!$K146,0,-Components!AI146*((1+InflationRate)^Components!$K146),0),AG146)</f>
        <v>5764.777135815656</v>
      </c>
      <c r="AI146" s="11">
        <f>IF(Components!AJ146&gt;0,PPMT(EarningsRate,1,Components!$K146,0,-Components!AJ146*((1+InflationRate)^Components!$K146),0),AH146)</f>
        <v>5764.777135815656</v>
      </c>
      <c r="AJ146" s="11">
        <f>IF(Components!AK146&gt;0,PPMT(EarningsRate,1,Components!$K146,0,-Components!AK146*((1+InflationRate)^Components!$K146),0),AI146)</f>
        <v>8131.6519766696292</v>
      </c>
      <c r="AK146" s="11">
        <f>IF(Components!AL146&gt;0,PPMT(EarningsRate,1,Components!$K146,0,-Components!AL146*((1+InflationRate)^Components!$K146),0),AJ146)</f>
        <v>8131.6519766696292</v>
      </c>
      <c r="AL146" s="11">
        <f>IF(Components!AM146&gt;0,PPMT(EarningsRate,1,Components!$K146,0,-Components!AM146*((1+InflationRate)^Components!$K146),0),AK146)</f>
        <v>8131.6519766696292</v>
      </c>
      <c r="AM146" s="11">
        <f>IF(Components!AN146&gt;0,PPMT(EarningsRate,1,Components!$K146,0,-Components!AN146*((1+InflationRate)^Components!$K146),0),AL146)</f>
        <v>8131.6519766696292</v>
      </c>
      <c r="AN146" s="11">
        <f>IF(Components!AO146&gt;0,PPMT(EarningsRate,1,Components!$K146,0,-Components!AO146*((1+InflationRate)^Components!$K146),0),AM146)</f>
        <v>8131.6519766696292</v>
      </c>
      <c r="AO146" s="11">
        <f>IF(Components!AP146&gt;0,PPMT(EarningsRate,1,Components!$K146,0,-Components!AP146*((1+InflationRate)^Components!$K146),0),AN146)</f>
        <v>8131.6519766696292</v>
      </c>
      <c r="AP146" s="214"/>
      <c r="AQ146" s="11">
        <f t="shared" si="3"/>
        <v>161789.89561675419</v>
      </c>
    </row>
    <row r="147" spans="1:43" s="1" customFormat="1">
      <c r="A147" s="220" t="str">
        <f>Components!B147</f>
        <v>Golf Equip</v>
      </c>
      <c r="B147" s="220" t="str">
        <f>Components!C147</f>
        <v>LD Utility Vehicle # 607</v>
      </c>
      <c r="C147" s="211"/>
      <c r="D147" s="211"/>
      <c r="E147" s="211"/>
      <c r="F147" s="88"/>
      <c r="G147" s="212"/>
      <c r="H147" s="212"/>
      <c r="I147" s="212"/>
      <c r="J147" s="211"/>
      <c r="K147" s="11">
        <f>IF('FF Balance'!H147&gt;=0,PPMT(EarningsRate,1,Components!K147,0,-'FF Balance'!G147,0),0)</f>
        <v>1145.8270685147422</v>
      </c>
      <c r="L147" s="11">
        <f>IF(Components!M147&gt;0,PPMT(EarningsRate,1,Components!$K147,0,-Components!M147*((1+InflationRate)^Components!$K147),0),K147)</f>
        <v>1145.8270685147422</v>
      </c>
      <c r="M147" s="11">
        <f>IF(Components!N147&gt;0,PPMT(EarningsRate,1,Components!$K147,0,-Components!N147*((1+InflationRate)^Components!$K147),0),L147)</f>
        <v>1145.8270685147422</v>
      </c>
      <c r="N147" s="11">
        <f>IF(Components!O147&gt;0,PPMT(EarningsRate,1,Components!$K147,0,-Components!O147*((1+InflationRate)^Components!$K147),0),M147)</f>
        <v>1616.3022427330275</v>
      </c>
      <c r="O147" s="11">
        <f>IF(Components!P147&gt;0,PPMT(EarningsRate,1,Components!$K147,0,-Components!P147*((1+InflationRate)^Components!$K147),0),N147)</f>
        <v>1616.3022427330275</v>
      </c>
      <c r="P147" s="11">
        <f>IF(Components!Q147&gt;0,PPMT(EarningsRate,1,Components!$K147,0,-Components!Q147*((1+InflationRate)^Components!$K147),0),O147)</f>
        <v>1616.3022427330275</v>
      </c>
      <c r="Q147" s="11">
        <f>IF(Components!R147&gt;0,PPMT(EarningsRate,1,Components!$K147,0,-Components!R147*((1+InflationRate)^Components!$K147),0),P147)</f>
        <v>1616.3022427330275</v>
      </c>
      <c r="R147" s="11">
        <f>IF(Components!S147&gt;0,PPMT(EarningsRate,1,Components!$K147,0,-Components!S147*((1+InflationRate)^Components!$K147),0),Q147)</f>
        <v>1616.3022427330275</v>
      </c>
      <c r="S147" s="11">
        <f>IF(Components!T147&gt;0,PPMT(EarningsRate,1,Components!$K147,0,-Components!T147*((1+InflationRate)^Components!$K147),0),R147)</f>
        <v>1616.3022427330275</v>
      </c>
      <c r="T147" s="11">
        <f>IF(Components!U147&gt;0,PPMT(EarningsRate,1,Components!$K147,0,-Components!U147*((1+InflationRate)^Components!$K147),0),S147)</f>
        <v>1616.3022427330275</v>
      </c>
      <c r="U147" s="11">
        <f>IF(Components!V147&gt;0,PPMT(EarningsRate,1,Components!$K147,0,-Components!V147*((1+InflationRate)^Components!$K147),0),T147)</f>
        <v>1616.3022427330275</v>
      </c>
      <c r="V147" s="11">
        <f>IF(Components!W147&gt;0,PPMT(EarningsRate,1,Components!$K147,0,-Components!W147*((1+InflationRate)^Components!$K147),0),U147)</f>
        <v>1616.3022427330275</v>
      </c>
      <c r="W147" s="11">
        <f>IF(Components!X147&gt;0,PPMT(EarningsRate,1,Components!$K147,0,-Components!X147*((1+InflationRate)^Components!$K147),0),V147)</f>
        <v>1616.3022427330275</v>
      </c>
      <c r="X147" s="11">
        <f>IF(Components!Y147&gt;0,PPMT(EarningsRate,1,Components!$K147,0,-Components!Y147*((1+InflationRate)^Components!$K147),0),W147)</f>
        <v>2279.9299883807121</v>
      </c>
      <c r="Y147" s="11">
        <f>IF(Components!Z147&gt;0,PPMT(EarningsRate,1,Components!$K147,0,-Components!Z147*((1+InflationRate)^Components!$K147),0),X147)</f>
        <v>2279.9299883807121</v>
      </c>
      <c r="Z147" s="11">
        <f>IF(Components!AA147&gt;0,PPMT(EarningsRate,1,Components!$K147,0,-Components!AA147*((1+InflationRate)^Components!$K147),0),Y147)</f>
        <v>2279.9299883807121</v>
      </c>
      <c r="AA147" s="11">
        <f>IF(Components!AB147&gt;0,PPMT(EarningsRate,1,Components!$K147,0,-Components!AB147*((1+InflationRate)^Components!$K147),0),Z147)</f>
        <v>2279.9299883807121</v>
      </c>
      <c r="AB147" s="11">
        <f>IF(Components!AC147&gt;0,PPMT(EarningsRate,1,Components!$K147,0,-Components!AC147*((1+InflationRate)^Components!$K147),0),AA147)</f>
        <v>2279.9299883807121</v>
      </c>
      <c r="AC147" s="11">
        <f>IF(Components!AD147&gt;0,PPMT(EarningsRate,1,Components!$K147,0,-Components!AD147*((1+InflationRate)^Components!$K147),0),AB147)</f>
        <v>2279.9299883807121</v>
      </c>
      <c r="AD147" s="11">
        <f>IF(Components!AE147&gt;0,PPMT(EarningsRate,1,Components!$K147,0,-Components!AE147*((1+InflationRate)^Components!$K147),0),AC147)</f>
        <v>2279.9299883807121</v>
      </c>
      <c r="AE147" s="11">
        <f>IF(Components!AF147&gt;0,PPMT(EarningsRate,1,Components!$K147,0,-Components!AF147*((1+InflationRate)^Components!$K147),0),AD147)</f>
        <v>2279.9299883807121</v>
      </c>
      <c r="AF147" s="11">
        <f>IF(Components!AG147&gt;0,PPMT(EarningsRate,1,Components!$K147,0,-Components!AG147*((1+InflationRate)^Components!$K147),0),AE147)</f>
        <v>2279.9299883807121</v>
      </c>
      <c r="AG147" s="11">
        <f>IF(Components!AH147&gt;0,PPMT(EarningsRate,1,Components!$K147,0,-Components!AH147*((1+InflationRate)^Components!$K147),0),AF147)</f>
        <v>2279.9299883807121</v>
      </c>
      <c r="AH147" s="11">
        <f>IF(Components!AI147&gt;0,PPMT(EarningsRate,1,Components!$K147,0,-Components!AI147*((1+InflationRate)^Components!$K147),0),AG147)</f>
        <v>3216.0618807919391</v>
      </c>
      <c r="AI147" s="11">
        <f>IF(Components!AJ147&gt;0,PPMT(EarningsRate,1,Components!$K147,0,-Components!AJ147*((1+InflationRate)^Components!$K147),0),AH147)</f>
        <v>3216.0618807919391</v>
      </c>
      <c r="AJ147" s="11">
        <f>IF(Components!AK147&gt;0,PPMT(EarningsRate,1,Components!$K147,0,-Components!AK147*((1+InflationRate)^Components!$K147),0),AI147)</f>
        <v>3216.0618807919391</v>
      </c>
      <c r="AK147" s="11">
        <f>IF(Components!AL147&gt;0,PPMT(EarningsRate,1,Components!$K147,0,-Components!AL147*((1+InflationRate)^Components!$K147),0),AJ147)</f>
        <v>3216.0618807919391</v>
      </c>
      <c r="AL147" s="11">
        <f>IF(Components!AM147&gt;0,PPMT(EarningsRate,1,Components!$K147,0,-Components!AM147*((1+InflationRate)^Components!$K147),0),AK147)</f>
        <v>3216.0618807919391</v>
      </c>
      <c r="AM147" s="11">
        <f>IF(Components!AN147&gt;0,PPMT(EarningsRate,1,Components!$K147,0,-Components!AN147*((1+InflationRate)^Components!$K147),0),AL147)</f>
        <v>3216.0618807919391</v>
      </c>
      <c r="AN147" s="11">
        <f>IF(Components!AO147&gt;0,PPMT(EarningsRate,1,Components!$K147,0,-Components!AO147*((1+InflationRate)^Components!$K147),0),AM147)</f>
        <v>3216.0618807919391</v>
      </c>
      <c r="AO147" s="11">
        <f>IF(Components!AP147&gt;0,PPMT(EarningsRate,1,Components!$K147,0,-Components!AP147*((1+InflationRate)^Components!$K147),0),AN147)</f>
        <v>3216.0618807919391</v>
      </c>
      <c r="AP147" s="214"/>
      <c r="AQ147" s="11">
        <f t="shared" si="3"/>
        <v>68128.298663017122</v>
      </c>
    </row>
    <row r="148" spans="1:43" s="1" customFormat="1">
      <c r="A148" s="220" t="str">
        <f>Components!B148</f>
        <v>Golf Equip</v>
      </c>
      <c r="B148" s="220" t="str">
        <f>Components!C148</f>
        <v>LD Utility Vehicle # 608 (cab with snow plow)</v>
      </c>
      <c r="C148" s="211"/>
      <c r="D148" s="211"/>
      <c r="E148" s="211"/>
      <c r="F148" s="88"/>
      <c r="G148" s="212"/>
      <c r="H148" s="212"/>
      <c r="I148" s="212"/>
      <c r="J148" s="211"/>
      <c r="K148" s="11">
        <f>IF('FF Balance'!H148&gt;=0,PPMT(EarningsRate,1,Components!K148,0,-'FF Balance'!G148,0),0)</f>
        <v>4516.3986642186919</v>
      </c>
      <c r="L148" s="11">
        <f>IF(Components!M148&gt;0,PPMT(EarningsRate,1,Components!$K148,0,-Components!M148*((1+InflationRate)^Components!$K148),0),K148)</f>
        <v>6370.8263582177724</v>
      </c>
      <c r="M148" s="11">
        <f>IF(Components!N148&gt;0,PPMT(EarningsRate,1,Components!$K148,0,-Components!N148*((1+InflationRate)^Components!$K148),0),L148)</f>
        <v>6370.8263582177724</v>
      </c>
      <c r="N148" s="11">
        <f>IF(Components!O148&gt;0,PPMT(EarningsRate,1,Components!$K148,0,-Components!O148*((1+InflationRate)^Components!$K148),0),M148)</f>
        <v>6370.8263582177724</v>
      </c>
      <c r="O148" s="11">
        <f>IF(Components!P148&gt;0,PPMT(EarningsRate,1,Components!$K148,0,-Components!P148*((1+InflationRate)^Components!$K148),0),N148)</f>
        <v>6370.8263582177724</v>
      </c>
      <c r="P148" s="11">
        <f>IF(Components!Q148&gt;0,PPMT(EarningsRate,1,Components!$K148,0,-Components!Q148*((1+InflationRate)^Components!$K148),0),O148)</f>
        <v>6370.8263582177724</v>
      </c>
      <c r="Q148" s="11">
        <f>IF(Components!R148&gt;0,PPMT(EarningsRate,1,Components!$K148,0,-Components!R148*((1+InflationRate)^Components!$K148),0),P148)</f>
        <v>6370.8263582177724</v>
      </c>
      <c r="R148" s="11">
        <f>IF(Components!S148&gt;0,PPMT(EarningsRate,1,Components!$K148,0,-Components!S148*((1+InflationRate)^Components!$K148),0),Q148)</f>
        <v>6370.8263582177724</v>
      </c>
      <c r="S148" s="11">
        <f>IF(Components!T148&gt;0,PPMT(EarningsRate,1,Components!$K148,0,-Components!T148*((1+InflationRate)^Components!$K148),0),R148)</f>
        <v>6370.8263582177724</v>
      </c>
      <c r="T148" s="11">
        <f>IF(Components!U148&gt;0,PPMT(EarningsRate,1,Components!$K148,0,-Components!U148*((1+InflationRate)^Components!$K148),0),S148)</f>
        <v>6370.8263582177724</v>
      </c>
      <c r="U148" s="11">
        <f>IF(Components!V148&gt;0,PPMT(EarningsRate,1,Components!$K148,0,-Components!V148*((1+InflationRate)^Components!$K148),0),T148)</f>
        <v>6370.8263582177724</v>
      </c>
      <c r="V148" s="11">
        <f>IF(Components!W148&gt;0,PPMT(EarningsRate,1,Components!$K148,0,-Components!W148*((1+InflationRate)^Components!$K148),0),U148)</f>
        <v>8986.7379299022396</v>
      </c>
      <c r="W148" s="11">
        <f>IF(Components!X148&gt;0,PPMT(EarningsRate,1,Components!$K148,0,-Components!X148*((1+InflationRate)^Components!$K148),0),V148)</f>
        <v>8986.7379299022396</v>
      </c>
      <c r="X148" s="11">
        <f>IF(Components!Y148&gt;0,PPMT(EarningsRate,1,Components!$K148,0,-Components!Y148*((1+InflationRate)^Components!$K148),0),W148)</f>
        <v>8986.7379299022396</v>
      </c>
      <c r="Y148" s="11">
        <f>IF(Components!Z148&gt;0,PPMT(EarningsRate,1,Components!$K148,0,-Components!Z148*((1+InflationRate)^Components!$K148),0),X148)</f>
        <v>8986.7379299022396</v>
      </c>
      <c r="Z148" s="11">
        <f>IF(Components!AA148&gt;0,PPMT(EarningsRate,1,Components!$K148,0,-Components!AA148*((1+InflationRate)^Components!$K148),0),Y148)</f>
        <v>8986.7379299022396</v>
      </c>
      <c r="AA148" s="11">
        <f>IF(Components!AB148&gt;0,PPMT(EarningsRate,1,Components!$K148,0,-Components!AB148*((1+InflationRate)^Components!$K148),0),Z148)</f>
        <v>8986.7379299022396</v>
      </c>
      <c r="AB148" s="11">
        <f>IF(Components!AC148&gt;0,PPMT(EarningsRate,1,Components!$K148,0,-Components!AC148*((1+InflationRate)^Components!$K148),0),AA148)</f>
        <v>8986.7379299022396</v>
      </c>
      <c r="AC148" s="11">
        <f>IF(Components!AD148&gt;0,PPMT(EarningsRate,1,Components!$K148,0,-Components!AD148*((1+InflationRate)^Components!$K148),0),AB148)</f>
        <v>8986.7379299022396</v>
      </c>
      <c r="AD148" s="11">
        <f>IF(Components!AE148&gt;0,PPMT(EarningsRate,1,Components!$K148,0,-Components!AE148*((1+InflationRate)^Components!$K148),0),AC148)</f>
        <v>8986.7379299022396</v>
      </c>
      <c r="AE148" s="11">
        <f>IF(Components!AF148&gt;0,PPMT(EarningsRate,1,Components!$K148,0,-Components!AF148*((1+InflationRate)^Components!$K148),0),AD148)</f>
        <v>8986.7379299022396</v>
      </c>
      <c r="AF148" s="11">
        <f>IF(Components!AG148&gt;0,PPMT(EarningsRate,1,Components!$K148,0,-Components!AG148*((1+InflationRate)^Components!$K148),0),AE148)</f>
        <v>12676.636432948904</v>
      </c>
      <c r="AG148" s="11">
        <f>IF(Components!AH148&gt;0,PPMT(EarningsRate,1,Components!$K148,0,-Components!AH148*((1+InflationRate)^Components!$K148),0),AF148)</f>
        <v>12676.636432948904</v>
      </c>
      <c r="AH148" s="11">
        <f>IF(Components!AI148&gt;0,PPMT(EarningsRate,1,Components!$K148,0,-Components!AI148*((1+InflationRate)^Components!$K148),0),AG148)</f>
        <v>12676.636432948904</v>
      </c>
      <c r="AI148" s="11">
        <f>IF(Components!AJ148&gt;0,PPMT(EarningsRate,1,Components!$K148,0,-Components!AJ148*((1+InflationRate)^Components!$K148),0),AH148)</f>
        <v>12676.636432948904</v>
      </c>
      <c r="AJ148" s="11">
        <f>IF(Components!AK148&gt;0,PPMT(EarningsRate,1,Components!$K148,0,-Components!AK148*((1+InflationRate)^Components!$K148),0),AI148)</f>
        <v>12676.636432948904</v>
      </c>
      <c r="AK148" s="11">
        <f>IF(Components!AL148&gt;0,PPMT(EarningsRate,1,Components!$K148,0,-Components!AL148*((1+InflationRate)^Components!$K148),0),AJ148)</f>
        <v>12676.636432948904</v>
      </c>
      <c r="AL148" s="11">
        <f>IF(Components!AM148&gt;0,PPMT(EarningsRate,1,Components!$K148,0,-Components!AM148*((1+InflationRate)^Components!$K148),0),AK148)</f>
        <v>12676.636432948904</v>
      </c>
      <c r="AM148" s="11">
        <f>IF(Components!AN148&gt;0,PPMT(EarningsRate,1,Components!$K148,0,-Components!AN148*((1+InflationRate)^Components!$K148),0),AL148)</f>
        <v>12676.636432948904</v>
      </c>
      <c r="AN148" s="11">
        <f>IF(Components!AO148&gt;0,PPMT(EarningsRate,1,Components!$K148,0,-Components!AO148*((1+InflationRate)^Components!$K148),0),AM148)</f>
        <v>12676.636432948904</v>
      </c>
      <c r="AO148" s="11">
        <f>IF(Components!AP148&gt;0,PPMT(EarningsRate,1,Components!$K148,0,-Components!AP148*((1+InflationRate)^Components!$K148),0),AN148)</f>
        <v>12676.636432948904</v>
      </c>
      <c r="AP148" s="214"/>
      <c r="AQ148" s="11">
        <f t="shared" si="3"/>
        <v>284858.40597490792</v>
      </c>
    </row>
    <row r="149" spans="1:43" s="1" customFormat="1">
      <c r="A149" s="220" t="str">
        <f>Components!B149</f>
        <v>Golf Equip</v>
      </c>
      <c r="B149" s="220" t="str">
        <f>Components!C149</f>
        <v>Mower, fairway # 616</v>
      </c>
      <c r="C149" s="211"/>
      <c r="D149" s="211"/>
      <c r="E149" s="211"/>
      <c r="F149" s="88"/>
      <c r="G149" s="212"/>
      <c r="H149" s="212"/>
      <c r="I149" s="212"/>
      <c r="J149" s="211"/>
      <c r="K149" s="11">
        <f>IF('FF Balance'!H149&gt;=0,PPMT(EarningsRate,1,Components!K149,0,-'FF Balance'!G149,0),0)</f>
        <v>5835.6977286306346</v>
      </c>
      <c r="L149" s="11">
        <f>IF(Components!M149&gt;0,PPMT(EarningsRate,1,Components!$K149,0,-Components!M149*((1+InflationRate)^Components!$K149),0),K149)</f>
        <v>5835.6977286306346</v>
      </c>
      <c r="M149" s="11">
        <f>IF(Components!N149&gt;0,PPMT(EarningsRate,1,Components!$K149,0,-Components!N149*((1+InflationRate)^Components!$K149),0),L149)</f>
        <v>5835.6977286306346</v>
      </c>
      <c r="N149" s="11">
        <f>IF(Components!O149&gt;0,PPMT(EarningsRate,1,Components!$K149,0,-Components!O149*((1+InflationRate)^Components!$K149),0),M149)</f>
        <v>5835.6977286306346</v>
      </c>
      <c r="O149" s="11">
        <f>IF(Components!P149&gt;0,PPMT(EarningsRate,1,Components!$K149,0,-Components!P149*((1+InflationRate)^Components!$K149),0),N149)</f>
        <v>5835.6977286306346</v>
      </c>
      <c r="P149" s="11">
        <f>IF(Components!Q149&gt;0,PPMT(EarningsRate,1,Components!$K149,0,-Components!Q149*((1+InflationRate)^Components!$K149),0),O149)</f>
        <v>5835.6977286306346</v>
      </c>
      <c r="Q149" s="11">
        <f>IF(Components!R149&gt;0,PPMT(EarningsRate,1,Components!$K149,0,-Components!R149*((1+InflationRate)^Components!$K149),0),P149)</f>
        <v>5835.6977286306346</v>
      </c>
      <c r="R149" s="11">
        <f>IF(Components!S149&gt;0,PPMT(EarningsRate,1,Components!$K149,0,-Components!S149*((1+InflationRate)^Components!$K149),0),Q149)</f>
        <v>5835.6977286306346</v>
      </c>
      <c r="S149" s="11">
        <f>IF(Components!T149&gt;0,PPMT(EarningsRate,1,Components!$K149,0,-Components!T149*((1+InflationRate)^Components!$K149),0),R149)</f>
        <v>5835.6977286306346</v>
      </c>
      <c r="T149" s="11">
        <f>IF(Components!U149&gt;0,PPMT(EarningsRate,1,Components!$K149,0,-Components!U149*((1+InflationRate)^Components!$K149),0),S149)</f>
        <v>5835.6977286306346</v>
      </c>
      <c r="U149" s="11">
        <f>IF(Components!V149&gt;0,PPMT(EarningsRate,1,Components!$K149,0,-Components!V149*((1+InflationRate)^Components!$K149),0),T149)</f>
        <v>5835.6977286306346</v>
      </c>
      <c r="V149" s="11">
        <f>IF(Components!W149&gt;0,PPMT(EarningsRate,1,Components!$K149,0,-Components!W149*((1+InflationRate)^Components!$K149),0),U149)</f>
        <v>5835.6977286306346</v>
      </c>
      <c r="W149" s="11">
        <f>IF(Components!X149&gt;0,PPMT(EarningsRate,1,Components!$K149,0,-Components!X149*((1+InflationRate)^Components!$K149),0),V149)</f>
        <v>9446.2119481008376</v>
      </c>
      <c r="X149" s="11">
        <f>IF(Components!Y149&gt;0,PPMT(EarningsRate,1,Components!$K149,0,-Components!Y149*((1+InflationRate)^Components!$K149),0),W149)</f>
        <v>9446.2119481008376</v>
      </c>
      <c r="Y149" s="11">
        <f>IF(Components!Z149&gt;0,PPMT(EarningsRate,1,Components!$K149,0,-Components!Z149*((1+InflationRate)^Components!$K149),0),X149)</f>
        <v>9446.2119481008376</v>
      </c>
      <c r="Z149" s="11">
        <f>IF(Components!AA149&gt;0,PPMT(EarningsRate,1,Components!$K149,0,-Components!AA149*((1+InflationRate)^Components!$K149),0),Y149)</f>
        <v>9446.2119481008376</v>
      </c>
      <c r="AA149" s="11">
        <f>IF(Components!AB149&gt;0,PPMT(EarningsRate,1,Components!$K149,0,-Components!AB149*((1+InflationRate)^Components!$K149),0),Z149)</f>
        <v>9446.2119481008376</v>
      </c>
      <c r="AB149" s="11">
        <f>IF(Components!AC149&gt;0,PPMT(EarningsRate,1,Components!$K149,0,-Components!AC149*((1+InflationRate)^Components!$K149),0),AA149)</f>
        <v>9446.2119481008376</v>
      </c>
      <c r="AC149" s="11">
        <f>IF(Components!AD149&gt;0,PPMT(EarningsRate,1,Components!$K149,0,-Components!AD149*((1+InflationRate)^Components!$K149),0),AB149)</f>
        <v>9446.2119481008376</v>
      </c>
      <c r="AD149" s="11">
        <f>IF(Components!AE149&gt;0,PPMT(EarningsRate,1,Components!$K149,0,-Components!AE149*((1+InflationRate)^Components!$K149),0),AC149)</f>
        <v>9446.2119481008376</v>
      </c>
      <c r="AE149" s="11">
        <f>IF(Components!AF149&gt;0,PPMT(EarningsRate,1,Components!$K149,0,-Components!AF149*((1+InflationRate)^Components!$K149),0),AD149)</f>
        <v>9446.2119481008376</v>
      </c>
      <c r="AF149" s="11">
        <f>IF(Components!AG149&gt;0,PPMT(EarningsRate,1,Components!$K149,0,-Components!AG149*((1+InflationRate)^Components!$K149),0),AE149)</f>
        <v>9446.2119481008376</v>
      </c>
      <c r="AG149" s="11">
        <f>IF(Components!AH149&gt;0,PPMT(EarningsRate,1,Components!$K149,0,-Components!AH149*((1+InflationRate)^Components!$K149),0),AF149)</f>
        <v>9446.2119481008376</v>
      </c>
      <c r="AH149" s="11">
        <f>IF(Components!AI149&gt;0,PPMT(EarningsRate,1,Components!$K149,0,-Components!AI149*((1+InflationRate)^Components!$K149),0),AG149)</f>
        <v>9446.2119481008376</v>
      </c>
      <c r="AI149" s="11">
        <f>IF(Components!AJ149&gt;0,PPMT(EarningsRate,1,Components!$K149,0,-Components!AJ149*((1+InflationRate)^Components!$K149),0),AH149)</f>
        <v>9446.2119481008376</v>
      </c>
      <c r="AJ149" s="11">
        <f>IF(Components!AK149&gt;0,PPMT(EarningsRate,1,Components!$K149,0,-Components!AK149*((1+InflationRate)^Components!$K149),0),AI149)</f>
        <v>9446.2119481008376</v>
      </c>
      <c r="AK149" s="11">
        <f>IF(Components!AL149&gt;0,PPMT(EarningsRate,1,Components!$K149,0,-Components!AL149*((1+InflationRate)^Components!$K149),0),AJ149)</f>
        <v>15290.49253756946</v>
      </c>
      <c r="AL149" s="11">
        <f>IF(Components!AM149&gt;0,PPMT(EarningsRate,1,Components!$K149,0,-Components!AM149*((1+InflationRate)^Components!$K149),0),AK149)</f>
        <v>15290.49253756946</v>
      </c>
      <c r="AM149" s="11">
        <f>IF(Components!AN149&gt;0,PPMT(EarningsRate,1,Components!$K149,0,-Components!AN149*((1+InflationRate)^Components!$K149),0),AL149)</f>
        <v>15290.49253756946</v>
      </c>
      <c r="AN149" s="11">
        <f>IF(Components!AO149&gt;0,PPMT(EarningsRate,1,Components!$K149,0,-Components!AO149*((1+InflationRate)^Components!$K149),0),AM149)</f>
        <v>15290.49253756946</v>
      </c>
      <c r="AO149" s="11">
        <f>IF(Components!AP149&gt;0,PPMT(EarningsRate,1,Components!$K149,0,-Components!AP149*((1+InflationRate)^Components!$K149),0),AN149)</f>
        <v>15290.49253756946</v>
      </c>
      <c r="AP149" s="214"/>
      <c r="AQ149" s="11">
        <f t="shared" si="3"/>
        <v>278727.80280482664</v>
      </c>
    </row>
    <row r="150" spans="1:43" s="1" customFormat="1">
      <c r="A150" s="220" t="str">
        <f>Components!B150</f>
        <v>Golf Equip</v>
      </c>
      <c r="B150" s="220" t="str">
        <f>Components!C150</f>
        <v>Mower, rough # 610</v>
      </c>
      <c r="C150" s="211"/>
      <c r="D150" s="211"/>
      <c r="E150" s="211"/>
      <c r="F150" s="88"/>
      <c r="G150" s="212"/>
      <c r="H150" s="212"/>
      <c r="I150" s="212"/>
      <c r="J150" s="211"/>
      <c r="K150" s="11">
        <f>IF('FF Balance'!H150&gt;=0,PPMT(EarningsRate,1,Components!K150,0,-'FF Balance'!G150,0),0)</f>
        <v>5264.2226459389603</v>
      </c>
      <c r="L150" s="11">
        <f>IF(Components!M150&gt;0,PPMT(EarningsRate,1,Components!$K150,0,-Components!M150*((1+InflationRate)^Components!$K150),0),K150)</f>
        <v>5264.2226459389603</v>
      </c>
      <c r="M150" s="11">
        <f>IF(Components!N150&gt;0,PPMT(EarningsRate,1,Components!$K150,0,-Components!N150*((1+InflationRate)^Components!$K150),0),L150)</f>
        <v>5264.2226459389603</v>
      </c>
      <c r="N150" s="11">
        <f>IF(Components!O150&gt;0,PPMT(EarningsRate,1,Components!$K150,0,-Components!O150*((1+InflationRate)^Components!$K150),0),M150)</f>
        <v>5264.2226459389603</v>
      </c>
      <c r="O150" s="11">
        <f>IF(Components!P150&gt;0,PPMT(EarningsRate,1,Components!$K150,0,-Components!P150*((1+InflationRate)^Components!$K150),0),N150)</f>
        <v>5264.2226459389603</v>
      </c>
      <c r="P150" s="11">
        <f>IF(Components!Q150&gt;0,PPMT(EarningsRate,1,Components!$K150,0,-Components!Q150*((1+InflationRate)^Components!$K150),0),O150)</f>
        <v>7425.7059399951368</v>
      </c>
      <c r="Q150" s="11">
        <f>IF(Components!R150&gt;0,PPMT(EarningsRate,1,Components!$K150,0,-Components!R150*((1+InflationRate)^Components!$K150),0),P150)</f>
        <v>7425.7059399951368</v>
      </c>
      <c r="R150" s="11">
        <f>IF(Components!S150&gt;0,PPMT(EarningsRate,1,Components!$K150,0,-Components!S150*((1+InflationRate)^Components!$K150),0),Q150)</f>
        <v>7425.7059399951368</v>
      </c>
      <c r="S150" s="11">
        <f>IF(Components!T150&gt;0,PPMT(EarningsRate,1,Components!$K150,0,-Components!T150*((1+InflationRate)^Components!$K150),0),R150)</f>
        <v>7425.7059399951368</v>
      </c>
      <c r="T150" s="11">
        <f>IF(Components!U150&gt;0,PPMT(EarningsRate,1,Components!$K150,0,-Components!U150*((1+InflationRate)^Components!$K150),0),S150)</f>
        <v>7425.7059399951368</v>
      </c>
      <c r="U150" s="11">
        <f>IF(Components!V150&gt;0,PPMT(EarningsRate,1,Components!$K150,0,-Components!V150*((1+InflationRate)^Components!$K150),0),T150)</f>
        <v>7425.7059399951368</v>
      </c>
      <c r="V150" s="11">
        <f>IF(Components!W150&gt;0,PPMT(EarningsRate,1,Components!$K150,0,-Components!W150*((1+InflationRate)^Components!$K150),0),U150)</f>
        <v>7425.7059399951368</v>
      </c>
      <c r="W150" s="11">
        <f>IF(Components!X150&gt;0,PPMT(EarningsRate,1,Components!$K150,0,-Components!X150*((1+InflationRate)^Components!$K150),0),V150)</f>
        <v>7425.7059399951368</v>
      </c>
      <c r="X150" s="11">
        <f>IF(Components!Y150&gt;0,PPMT(EarningsRate,1,Components!$K150,0,-Components!Y150*((1+InflationRate)^Components!$K150),0),W150)</f>
        <v>7425.7059399951368</v>
      </c>
      <c r="Y150" s="11">
        <f>IF(Components!Z150&gt;0,PPMT(EarningsRate,1,Components!$K150,0,-Components!Z150*((1+InflationRate)^Components!$K150),0),X150)</f>
        <v>7425.7059399951368</v>
      </c>
      <c r="Z150" s="11">
        <f>IF(Components!AA150&gt;0,PPMT(EarningsRate,1,Components!$K150,0,-Components!AA150*((1+InflationRate)^Components!$K150),0),Y150)</f>
        <v>10474.674689853948</v>
      </c>
      <c r="AA150" s="11">
        <f>IF(Components!AB150&gt;0,PPMT(EarningsRate,1,Components!$K150,0,-Components!AB150*((1+InflationRate)^Components!$K150),0),Z150)</f>
        <v>10474.674689853948</v>
      </c>
      <c r="AB150" s="11">
        <f>IF(Components!AC150&gt;0,PPMT(EarningsRate,1,Components!$K150,0,-Components!AC150*((1+InflationRate)^Components!$K150),0),AA150)</f>
        <v>10474.674689853948</v>
      </c>
      <c r="AC150" s="11">
        <f>IF(Components!AD150&gt;0,PPMT(EarningsRate,1,Components!$K150,0,-Components!AD150*((1+InflationRate)^Components!$K150),0),AB150)</f>
        <v>10474.674689853948</v>
      </c>
      <c r="AD150" s="11">
        <f>IF(Components!AE150&gt;0,PPMT(EarningsRate,1,Components!$K150,0,-Components!AE150*((1+InflationRate)^Components!$K150),0),AC150)</f>
        <v>10474.674689853948</v>
      </c>
      <c r="AE150" s="11">
        <f>IF(Components!AF150&gt;0,PPMT(EarningsRate,1,Components!$K150,0,-Components!AF150*((1+InflationRate)^Components!$K150),0),AD150)</f>
        <v>10474.674689853948</v>
      </c>
      <c r="AF150" s="11">
        <f>IF(Components!AG150&gt;0,PPMT(EarningsRate,1,Components!$K150,0,-Components!AG150*((1+InflationRate)^Components!$K150),0),AE150)</f>
        <v>10474.674689853948</v>
      </c>
      <c r="AG150" s="11">
        <f>IF(Components!AH150&gt;0,PPMT(EarningsRate,1,Components!$K150,0,-Components!AH150*((1+InflationRate)^Components!$K150),0),AF150)</f>
        <v>10474.674689853948</v>
      </c>
      <c r="AH150" s="11">
        <f>IF(Components!AI150&gt;0,PPMT(EarningsRate,1,Components!$K150,0,-Components!AI150*((1+InflationRate)^Components!$K150),0),AG150)</f>
        <v>10474.674689853948</v>
      </c>
      <c r="AI150" s="11">
        <f>IF(Components!AJ150&gt;0,PPMT(EarningsRate,1,Components!$K150,0,-Components!AJ150*((1+InflationRate)^Components!$K150),0),AH150)</f>
        <v>10474.674689853948</v>
      </c>
      <c r="AJ150" s="11">
        <f>IF(Components!AK150&gt;0,PPMT(EarningsRate,1,Components!$K150,0,-Components!AK150*((1+InflationRate)^Components!$K150),0),AI150)</f>
        <v>14775.495430633086</v>
      </c>
      <c r="AK150" s="11">
        <f>IF(Components!AL150&gt;0,PPMT(EarningsRate,1,Components!$K150,0,-Components!AL150*((1+InflationRate)^Components!$K150),0),AJ150)</f>
        <v>14775.495430633086</v>
      </c>
      <c r="AL150" s="11">
        <f>IF(Components!AM150&gt;0,PPMT(EarningsRate,1,Components!$K150,0,-Components!AM150*((1+InflationRate)^Components!$K150),0),AK150)</f>
        <v>14775.495430633086</v>
      </c>
      <c r="AM150" s="11">
        <f>IF(Components!AN150&gt;0,PPMT(EarningsRate,1,Components!$K150,0,-Components!AN150*((1+InflationRate)^Components!$K150),0),AL150)</f>
        <v>14775.495430633086</v>
      </c>
      <c r="AN150" s="11">
        <f>IF(Components!AO150&gt;0,PPMT(EarningsRate,1,Components!$K150,0,-Components!AO150*((1+InflationRate)^Components!$K150),0),AM150)</f>
        <v>14775.495430633086</v>
      </c>
      <c r="AO150" s="11">
        <f>IF(Components!AP150&gt;0,PPMT(EarningsRate,1,Components!$K150,0,-Components!AP150*((1+InflationRate)^Components!$K150),0),AN150)</f>
        <v>14775.495430633086</v>
      </c>
      <c r="AP150" s="214"/>
      <c r="AQ150" s="11">
        <f t="shared" si="3"/>
        <v>293977.89221198409</v>
      </c>
    </row>
    <row r="151" spans="1:43" s="1" customFormat="1">
      <c r="A151" s="220" t="str">
        <f>Components!B151</f>
        <v>Golf Equip</v>
      </c>
      <c r="B151" s="220" t="str">
        <f>Components!C151</f>
        <v>Mower, triplex # 601</v>
      </c>
      <c r="C151" s="211"/>
      <c r="D151" s="211"/>
      <c r="E151" s="211"/>
      <c r="F151" s="88"/>
      <c r="G151" s="212"/>
      <c r="H151" s="212"/>
      <c r="I151" s="212"/>
      <c r="J151" s="211"/>
      <c r="K151" s="11">
        <f>IF('FF Balance'!H151&gt;=0,PPMT(EarningsRate,1,Components!K151,0,-'FF Balance'!G151,0),0)</f>
        <v>2330.4058301651071</v>
      </c>
      <c r="L151" s="11">
        <f>IF(Components!M151&gt;0,PPMT(EarningsRate,1,Components!$K151,0,-Components!M151*((1+InflationRate)^Components!$K151),0),K151)</f>
        <v>2330.4058301651071</v>
      </c>
      <c r="M151" s="11">
        <f>IF(Components!N151&gt;0,PPMT(EarningsRate,1,Components!$K151,0,-Components!N151*((1+InflationRate)^Components!$K151),0),L151)</f>
        <v>2330.4058301651071</v>
      </c>
      <c r="N151" s="11">
        <f>IF(Components!O151&gt;0,PPMT(EarningsRate,1,Components!$K151,0,-Components!O151*((1+InflationRate)^Components!$K151),0),M151)</f>
        <v>2330.4058301651071</v>
      </c>
      <c r="O151" s="11">
        <f>IF(Components!P151&gt;0,PPMT(EarningsRate,1,Components!$K151,0,-Components!P151*((1+InflationRate)^Components!$K151),0),N151)</f>
        <v>2330.4058301651071</v>
      </c>
      <c r="P151" s="11">
        <f>IF(Components!Q151&gt;0,PPMT(EarningsRate,1,Components!$K151,0,-Components!Q151*((1+InflationRate)^Components!$K151),0),O151)</f>
        <v>2330.4058301651071</v>
      </c>
      <c r="Q151" s="11">
        <f>IF(Components!R151&gt;0,PPMT(EarningsRate,1,Components!$K151,0,-Components!R151*((1+InflationRate)^Components!$K151),0),P151)</f>
        <v>2330.4058301651071</v>
      </c>
      <c r="R151" s="11">
        <f>IF(Components!S151&gt;0,PPMT(EarningsRate,1,Components!$K151,0,-Components!S151*((1+InflationRate)^Components!$K151),0),Q151)</f>
        <v>2330.4058301651071</v>
      </c>
      <c r="S151" s="11">
        <f>IF(Components!T151&gt;0,PPMT(EarningsRate,1,Components!$K151,0,-Components!T151*((1+InflationRate)^Components!$K151),0),R151)</f>
        <v>2330.4058301651071</v>
      </c>
      <c r="T151" s="11">
        <f>IF(Components!U151&gt;0,PPMT(EarningsRate,1,Components!$K151,0,-Components!U151*((1+InflationRate)^Components!$K151),0),S151)</f>
        <v>2330.4058301651071</v>
      </c>
      <c r="U151" s="11">
        <f>IF(Components!V151&gt;0,PPMT(EarningsRate,1,Components!$K151,0,-Components!V151*((1+InflationRate)^Components!$K151),0),T151)</f>
        <v>2330.4058301651071</v>
      </c>
      <c r="V151" s="11">
        <f>IF(Components!W151&gt;0,PPMT(EarningsRate,1,Components!$K151,0,-Components!W151*((1+InflationRate)^Components!$K151),0),U151)</f>
        <v>4637.0155682184013</v>
      </c>
      <c r="W151" s="11">
        <f>IF(Components!X151&gt;0,PPMT(EarningsRate,1,Components!$K151,0,-Components!X151*((1+InflationRate)^Components!$K151),0),V151)</f>
        <v>4637.0155682184013</v>
      </c>
      <c r="X151" s="11">
        <f>IF(Components!Y151&gt;0,PPMT(EarningsRate,1,Components!$K151,0,-Components!Y151*((1+InflationRate)^Components!$K151),0),W151)</f>
        <v>4637.0155682184013</v>
      </c>
      <c r="Y151" s="11">
        <f>IF(Components!Z151&gt;0,PPMT(EarningsRate,1,Components!$K151,0,-Components!Z151*((1+InflationRate)^Components!$K151),0),X151)</f>
        <v>4637.0155682184013</v>
      </c>
      <c r="Z151" s="11">
        <f>IF(Components!AA151&gt;0,PPMT(EarningsRate,1,Components!$K151,0,-Components!AA151*((1+InflationRate)^Components!$K151),0),Y151)</f>
        <v>4637.0155682184013</v>
      </c>
      <c r="AA151" s="11">
        <f>IF(Components!AB151&gt;0,PPMT(EarningsRate,1,Components!$K151,0,-Components!AB151*((1+InflationRate)^Components!$K151),0),Z151)</f>
        <v>4637.0155682184013</v>
      </c>
      <c r="AB151" s="11">
        <f>IF(Components!AC151&gt;0,PPMT(EarningsRate,1,Components!$K151,0,-Components!AC151*((1+InflationRate)^Components!$K151),0),AA151)</f>
        <v>4637.0155682184013</v>
      </c>
      <c r="AC151" s="11">
        <f>IF(Components!AD151&gt;0,PPMT(EarningsRate,1,Components!$K151,0,-Components!AD151*((1+InflationRate)^Components!$K151),0),AB151)</f>
        <v>4637.0155682184013</v>
      </c>
      <c r="AD151" s="11">
        <f>IF(Components!AE151&gt;0,PPMT(EarningsRate,1,Components!$K151,0,-Components!AE151*((1+InflationRate)^Components!$K151),0),AC151)</f>
        <v>4637.0155682184013</v>
      </c>
      <c r="AE151" s="11">
        <f>IF(Components!AF151&gt;0,PPMT(EarningsRate,1,Components!$K151,0,-Components!AF151*((1+InflationRate)^Components!$K151),0),AD151)</f>
        <v>4637.0155682184013</v>
      </c>
      <c r="AF151" s="11">
        <f>IF(Components!AG151&gt;0,PPMT(EarningsRate,1,Components!$K151,0,-Components!AG151*((1+InflationRate)^Components!$K151),0),AE151)</f>
        <v>4637.0155682184013</v>
      </c>
      <c r="AG151" s="11">
        <f>IF(Components!AH151&gt;0,PPMT(EarningsRate,1,Components!$K151,0,-Components!AH151*((1+InflationRate)^Components!$K151),0),AF151)</f>
        <v>4637.0155682184013</v>
      </c>
      <c r="AH151" s="11">
        <f>IF(Components!AI151&gt;0,PPMT(EarningsRate,1,Components!$K151,0,-Components!AI151*((1+InflationRate)^Components!$K151),0),AG151)</f>
        <v>4637.0155682184013</v>
      </c>
      <c r="AI151" s="11">
        <f>IF(Components!AJ151&gt;0,PPMT(EarningsRate,1,Components!$K151,0,-Components!AJ151*((1+InflationRate)^Components!$K151),0),AH151)</f>
        <v>4637.0155682184013</v>
      </c>
      <c r="AJ151" s="11">
        <f>IF(Components!AK151&gt;0,PPMT(EarningsRate,1,Components!$K151,0,-Components!AK151*((1+InflationRate)^Components!$K151),0),AI151)</f>
        <v>4637.0155682184013</v>
      </c>
      <c r="AK151" s="11">
        <f>IF(Components!AL151&gt;0,PPMT(EarningsRate,1,Components!$K151,0,-Components!AL151*((1+InflationRate)^Components!$K151),0),AJ151)</f>
        <v>4637.0155682184013</v>
      </c>
      <c r="AL151" s="11">
        <f>IF(Components!AM151&gt;0,PPMT(EarningsRate,1,Components!$K151,0,-Components!AM151*((1+InflationRate)^Components!$K151),0),AK151)</f>
        <v>4637.0155682184013</v>
      </c>
      <c r="AM151" s="11">
        <f>IF(Components!AN151&gt;0,PPMT(EarningsRate,1,Components!$K151,0,-Components!AN151*((1+InflationRate)^Components!$K151),0),AL151)</f>
        <v>4637.0155682184013</v>
      </c>
      <c r="AN151" s="11">
        <f>IF(Components!AO151&gt;0,PPMT(EarningsRate,1,Components!$K151,0,-Components!AO151*((1+InflationRate)^Components!$K151),0),AM151)</f>
        <v>4637.0155682184013</v>
      </c>
      <c r="AO151" s="11">
        <f>IF(Components!AP151&gt;0,PPMT(EarningsRate,1,Components!$K151,0,-Components!AP151*((1+InflationRate)^Components!$K151),0),AN151)</f>
        <v>4637.0155682184013</v>
      </c>
      <c r="AP151" s="214"/>
      <c r="AQ151" s="11">
        <f t="shared" si="3"/>
        <v>118374.77559618415</v>
      </c>
    </row>
    <row r="152" spans="1:43" s="1" customFormat="1">
      <c r="A152" s="220" t="str">
        <f>Components!B152</f>
        <v>Golf Equip</v>
      </c>
      <c r="B152" s="220" t="str">
        <f>Components!C152</f>
        <v xml:space="preserve">Mower, triplex # 605 </v>
      </c>
      <c r="C152" s="211"/>
      <c r="D152" s="211"/>
      <c r="E152" s="211"/>
      <c r="F152" s="88"/>
      <c r="G152" s="212"/>
      <c r="H152" s="212"/>
      <c r="I152" s="212"/>
      <c r="J152" s="211"/>
      <c r="K152" s="11">
        <f>IF('FF Balance'!H152&gt;=0,PPMT(EarningsRate,1,Components!K152,0,-'FF Balance'!G152,0),0)</f>
        <v>2864.6592108137293</v>
      </c>
      <c r="L152" s="11">
        <f>IF(Components!M152&gt;0,PPMT(EarningsRate,1,Components!$K152,0,-Components!M152*((1+InflationRate)^Components!$K152),0),K152)</f>
        <v>2864.6592108137293</v>
      </c>
      <c r="M152" s="11">
        <f>IF(Components!N152&gt;0,PPMT(EarningsRate,1,Components!$K152,0,-Components!N152*((1+InflationRate)^Components!$K152),0),L152)</f>
        <v>2864.6592108137293</v>
      </c>
      <c r="N152" s="11">
        <f>IF(Components!O152&gt;0,PPMT(EarningsRate,1,Components!$K152,0,-Components!O152*((1+InflationRate)^Components!$K152),0),M152)</f>
        <v>2864.6592108137293</v>
      </c>
      <c r="O152" s="11">
        <f>IF(Components!P152&gt;0,PPMT(EarningsRate,1,Components!$K152,0,-Components!P152*((1+InflationRate)^Components!$K152),0),N152)</f>
        <v>2864.6592108137293</v>
      </c>
      <c r="P152" s="11">
        <f>IF(Components!Q152&gt;0,PPMT(EarningsRate,1,Components!$K152,0,-Components!Q152*((1+InflationRate)^Components!$K152),0),O152)</f>
        <v>2864.6592108137293</v>
      </c>
      <c r="Q152" s="11">
        <f>IF(Components!R152&gt;0,PPMT(EarningsRate,1,Components!$K152,0,-Components!R152*((1+InflationRate)^Components!$K152),0),P152)</f>
        <v>2864.6592108137293</v>
      </c>
      <c r="R152" s="11">
        <f>IF(Components!S152&gt;0,PPMT(EarningsRate,1,Components!$K152,0,-Components!S152*((1+InflationRate)^Components!$K152),0),Q152)</f>
        <v>2864.6592108137293</v>
      </c>
      <c r="S152" s="11">
        <f>IF(Components!T152&gt;0,PPMT(EarningsRate,1,Components!$K152,0,-Components!T152*((1+InflationRate)^Components!$K152),0),R152)</f>
        <v>2864.6592108137293</v>
      </c>
      <c r="T152" s="11">
        <f>IF(Components!U152&gt;0,PPMT(EarningsRate,1,Components!$K152,0,-Components!U152*((1+InflationRate)^Components!$K152),0),S152)</f>
        <v>2864.6592108137293</v>
      </c>
      <c r="U152" s="11">
        <f>IF(Components!V152&gt;0,PPMT(EarningsRate,1,Components!$K152,0,-Components!V152*((1+InflationRate)^Components!$K152),0),T152)</f>
        <v>2864.6592108137293</v>
      </c>
      <c r="V152" s="11">
        <f>IF(Components!W152&gt;0,PPMT(EarningsRate,1,Components!$K152,0,-Components!W152*((1+InflationRate)^Components!$K152),0),U152)</f>
        <v>2864.6592108137293</v>
      </c>
      <c r="W152" s="11">
        <f>IF(Components!X152&gt;0,PPMT(EarningsRate,1,Components!$K152,0,-Components!X152*((1+InflationRate)^Components!$K152),0),V152)</f>
        <v>2864.6592108137293</v>
      </c>
      <c r="X152" s="11">
        <f>IF(Components!Y152&gt;0,PPMT(EarningsRate,1,Components!$K152,0,-Components!Y152*((1+InflationRate)^Components!$K152),0),W152)</f>
        <v>2864.6592108137293</v>
      </c>
      <c r="Y152" s="11">
        <f>IF(Components!Z152&gt;0,PPMT(EarningsRate,1,Components!$K152,0,-Components!Z152*((1+InflationRate)^Components!$K152),0),X152)</f>
        <v>2864.6592108137293</v>
      </c>
      <c r="Z152" s="11">
        <f>IF(Components!AA152&gt;0,PPMT(EarningsRate,1,Components!$K152,0,-Components!AA152*((1+InflationRate)^Components!$K152),0),Y152)</f>
        <v>2864.6592108137293</v>
      </c>
      <c r="AA152" s="11">
        <f>IF(Components!AB152&gt;0,PPMT(EarningsRate,1,Components!$K152,0,-Components!AB152*((1+InflationRate)^Components!$K152),0),Z152)</f>
        <v>2864.6592108137293</v>
      </c>
      <c r="AB152" s="11">
        <f>IF(Components!AC152&gt;0,PPMT(EarningsRate,1,Components!$K152,0,-Components!AC152*((1+InflationRate)^Components!$K152),0),AA152)</f>
        <v>5700.0669953020079</v>
      </c>
      <c r="AC152" s="11">
        <f>IF(Components!AD152&gt;0,PPMT(EarningsRate,1,Components!$K152,0,-Components!AD152*((1+InflationRate)^Components!$K152),0),AB152)</f>
        <v>5700.0669953020079</v>
      </c>
      <c r="AD152" s="11">
        <f>IF(Components!AE152&gt;0,PPMT(EarningsRate,1,Components!$K152,0,-Components!AE152*((1+InflationRate)^Components!$K152),0),AC152)</f>
        <v>5700.0669953020079</v>
      </c>
      <c r="AE152" s="11">
        <f>IF(Components!AF152&gt;0,PPMT(EarningsRate,1,Components!$K152,0,-Components!AF152*((1+InflationRate)^Components!$K152),0),AD152)</f>
        <v>5700.0669953020079</v>
      </c>
      <c r="AF152" s="11">
        <f>IF(Components!AG152&gt;0,PPMT(EarningsRate,1,Components!$K152,0,-Components!AG152*((1+InflationRate)^Components!$K152),0),AE152)</f>
        <v>5700.0669953020079</v>
      </c>
      <c r="AG152" s="11">
        <f>IF(Components!AH152&gt;0,PPMT(EarningsRate,1,Components!$K152,0,-Components!AH152*((1+InflationRate)^Components!$K152),0),AF152)</f>
        <v>5700.0669953020079</v>
      </c>
      <c r="AH152" s="11">
        <f>IF(Components!AI152&gt;0,PPMT(EarningsRate,1,Components!$K152,0,-Components!AI152*((1+InflationRate)^Components!$K152),0),AG152)</f>
        <v>5700.0669953020079</v>
      </c>
      <c r="AI152" s="11">
        <f>IF(Components!AJ152&gt;0,PPMT(EarningsRate,1,Components!$K152,0,-Components!AJ152*((1+InflationRate)^Components!$K152),0),AH152)</f>
        <v>5700.0669953020079</v>
      </c>
      <c r="AJ152" s="11">
        <f>IF(Components!AK152&gt;0,PPMT(EarningsRate,1,Components!$K152,0,-Components!AK152*((1+InflationRate)^Components!$K152),0),AI152)</f>
        <v>5700.0669953020079</v>
      </c>
      <c r="AK152" s="11">
        <f>IF(Components!AL152&gt;0,PPMT(EarningsRate,1,Components!$K152,0,-Components!AL152*((1+InflationRate)^Components!$K152),0),AJ152)</f>
        <v>5700.0669953020079</v>
      </c>
      <c r="AL152" s="11">
        <f>IF(Components!AM152&gt;0,PPMT(EarningsRate,1,Components!$K152,0,-Components!AM152*((1+InflationRate)^Components!$K152),0),AK152)</f>
        <v>5700.0669953020079</v>
      </c>
      <c r="AM152" s="11">
        <f>IF(Components!AN152&gt;0,PPMT(EarningsRate,1,Components!$K152,0,-Components!AN152*((1+InflationRate)^Components!$K152),0),AL152)</f>
        <v>5700.0669953020079</v>
      </c>
      <c r="AN152" s="11">
        <f>IF(Components!AO152&gt;0,PPMT(EarningsRate,1,Components!$K152,0,-Components!AO152*((1+InflationRate)^Components!$K152),0),AM152)</f>
        <v>5700.0669953020079</v>
      </c>
      <c r="AO152" s="11">
        <f>IF(Components!AP152&gt;0,PPMT(EarningsRate,1,Components!$K152,0,-Components!AP152*((1+InflationRate)^Components!$K152),0),AN152)</f>
        <v>5700.0669953020079</v>
      </c>
      <c r="AP152" s="214"/>
      <c r="AQ152" s="11">
        <f t="shared" si="3"/>
        <v>128500.14461806155</v>
      </c>
    </row>
    <row r="153" spans="1:43" s="1" customFormat="1">
      <c r="A153" s="220" t="str">
        <f>Components!B153</f>
        <v>Golf Equip</v>
      </c>
      <c r="B153" s="220" t="str">
        <f>Components!C153</f>
        <v>Mower, triplex # 606</v>
      </c>
      <c r="C153" s="211"/>
      <c r="D153" s="211"/>
      <c r="E153" s="211"/>
      <c r="F153" s="88"/>
      <c r="G153" s="212"/>
      <c r="H153" s="212"/>
      <c r="I153" s="212"/>
      <c r="J153" s="211"/>
      <c r="K153" s="11">
        <f>IF('FF Balance'!H153&gt;=0,PPMT(EarningsRate,1,Components!K153,0,-'FF Balance'!G153,0),0)</f>
        <v>2864.6592108137293</v>
      </c>
      <c r="L153" s="11">
        <f>IF(Components!M153&gt;0,PPMT(EarningsRate,1,Components!$K153,0,-Components!M153*((1+InflationRate)^Components!$K153),0),K153)</f>
        <v>2864.6592108137293</v>
      </c>
      <c r="M153" s="11">
        <f>IF(Components!N153&gt;0,PPMT(EarningsRate,1,Components!$K153,0,-Components!N153*((1+InflationRate)^Components!$K153),0),L153)</f>
        <v>2864.6592108137293</v>
      </c>
      <c r="N153" s="11">
        <f>IF(Components!O153&gt;0,PPMT(EarningsRate,1,Components!$K153,0,-Components!O153*((1+InflationRate)^Components!$K153),0),M153)</f>
        <v>2864.6592108137293</v>
      </c>
      <c r="O153" s="11">
        <f>IF(Components!P153&gt;0,PPMT(EarningsRate,1,Components!$K153,0,-Components!P153*((1+InflationRate)^Components!$K153),0),N153)</f>
        <v>2864.6592108137293</v>
      </c>
      <c r="P153" s="11">
        <f>IF(Components!Q153&gt;0,PPMT(EarningsRate,1,Components!$K153,0,-Components!Q153*((1+InflationRate)^Components!$K153),0),O153)</f>
        <v>2864.6592108137293</v>
      </c>
      <c r="Q153" s="11">
        <f>IF(Components!R153&gt;0,PPMT(EarningsRate,1,Components!$K153,0,-Components!R153*((1+InflationRate)^Components!$K153),0),P153)</f>
        <v>2864.6592108137293</v>
      </c>
      <c r="R153" s="11">
        <f>IF(Components!S153&gt;0,PPMT(EarningsRate,1,Components!$K153,0,-Components!S153*((1+InflationRate)^Components!$K153),0),Q153)</f>
        <v>2864.6592108137293</v>
      </c>
      <c r="S153" s="11">
        <f>IF(Components!T153&gt;0,PPMT(EarningsRate,1,Components!$K153,0,-Components!T153*((1+InflationRate)^Components!$K153),0),R153)</f>
        <v>2864.6592108137293</v>
      </c>
      <c r="T153" s="11">
        <f>IF(Components!U153&gt;0,PPMT(EarningsRate,1,Components!$K153,0,-Components!U153*((1+InflationRate)^Components!$K153),0),S153)</f>
        <v>2864.6592108137293</v>
      </c>
      <c r="U153" s="11">
        <f>IF(Components!V153&gt;0,PPMT(EarningsRate,1,Components!$K153,0,-Components!V153*((1+InflationRate)^Components!$K153),0),T153)</f>
        <v>2864.6592108137293</v>
      </c>
      <c r="V153" s="11">
        <f>IF(Components!W153&gt;0,PPMT(EarningsRate,1,Components!$K153,0,-Components!W153*((1+InflationRate)^Components!$K153),0),U153)</f>
        <v>2864.6592108137293</v>
      </c>
      <c r="W153" s="11">
        <f>IF(Components!X153&gt;0,PPMT(EarningsRate,1,Components!$K153,0,-Components!X153*((1+InflationRate)^Components!$K153),0),V153)</f>
        <v>2864.6592108137293</v>
      </c>
      <c r="X153" s="11">
        <f>IF(Components!Y153&gt;0,PPMT(EarningsRate,1,Components!$K153,0,-Components!Y153*((1+InflationRate)^Components!$K153),0),W153)</f>
        <v>2864.6592108137293</v>
      </c>
      <c r="Y153" s="11">
        <f>IF(Components!Z153&gt;0,PPMT(EarningsRate,1,Components!$K153,0,-Components!Z153*((1+InflationRate)^Components!$K153),0),X153)</f>
        <v>2864.6592108137293</v>
      </c>
      <c r="Z153" s="11">
        <f>IF(Components!AA153&gt;0,PPMT(EarningsRate,1,Components!$K153,0,-Components!AA153*((1+InflationRate)^Components!$K153),0),Y153)</f>
        <v>2864.6592108137293</v>
      </c>
      <c r="AA153" s="11">
        <f>IF(Components!AB153&gt;0,PPMT(EarningsRate,1,Components!$K153,0,-Components!AB153*((1+InflationRate)^Components!$K153),0),Z153)</f>
        <v>2864.6592108137293</v>
      </c>
      <c r="AB153" s="11">
        <f>IF(Components!AC153&gt;0,PPMT(EarningsRate,1,Components!$K153,0,-Components!AC153*((1+InflationRate)^Components!$K153),0),AA153)</f>
        <v>5700.0669953020079</v>
      </c>
      <c r="AC153" s="11">
        <f>IF(Components!AD153&gt;0,PPMT(EarningsRate,1,Components!$K153,0,-Components!AD153*((1+InflationRate)^Components!$K153),0),AB153)</f>
        <v>5700.0669953020079</v>
      </c>
      <c r="AD153" s="11">
        <f>IF(Components!AE153&gt;0,PPMT(EarningsRate,1,Components!$K153,0,-Components!AE153*((1+InflationRate)^Components!$K153),0),AC153)</f>
        <v>5700.0669953020079</v>
      </c>
      <c r="AE153" s="11">
        <f>IF(Components!AF153&gt;0,PPMT(EarningsRate,1,Components!$K153,0,-Components!AF153*((1+InflationRate)^Components!$K153),0),AD153)</f>
        <v>5700.0669953020079</v>
      </c>
      <c r="AF153" s="11">
        <f>IF(Components!AG153&gt;0,PPMT(EarningsRate,1,Components!$K153,0,-Components!AG153*((1+InflationRate)^Components!$K153),0),AE153)</f>
        <v>5700.0669953020079</v>
      </c>
      <c r="AG153" s="11">
        <f>IF(Components!AH153&gt;0,PPMT(EarningsRate,1,Components!$K153,0,-Components!AH153*((1+InflationRate)^Components!$K153),0),AF153)</f>
        <v>5700.0669953020079</v>
      </c>
      <c r="AH153" s="11">
        <f>IF(Components!AI153&gt;0,PPMT(EarningsRate,1,Components!$K153,0,-Components!AI153*((1+InflationRate)^Components!$K153),0),AG153)</f>
        <v>5700.0669953020079</v>
      </c>
      <c r="AI153" s="11">
        <f>IF(Components!AJ153&gt;0,PPMT(EarningsRate,1,Components!$K153,0,-Components!AJ153*((1+InflationRate)^Components!$K153),0),AH153)</f>
        <v>5700.0669953020079</v>
      </c>
      <c r="AJ153" s="11">
        <f>IF(Components!AK153&gt;0,PPMT(EarningsRate,1,Components!$K153,0,-Components!AK153*((1+InflationRate)^Components!$K153),0),AI153)</f>
        <v>5700.0669953020079</v>
      </c>
      <c r="AK153" s="11">
        <f>IF(Components!AL153&gt;0,PPMT(EarningsRate,1,Components!$K153,0,-Components!AL153*((1+InflationRate)^Components!$K153),0),AJ153)</f>
        <v>5700.0669953020079</v>
      </c>
      <c r="AL153" s="11">
        <f>IF(Components!AM153&gt;0,PPMT(EarningsRate,1,Components!$K153,0,-Components!AM153*((1+InflationRate)^Components!$K153),0),AK153)</f>
        <v>5700.0669953020079</v>
      </c>
      <c r="AM153" s="11">
        <f>IF(Components!AN153&gt;0,PPMT(EarningsRate,1,Components!$K153,0,-Components!AN153*((1+InflationRate)^Components!$K153),0),AL153)</f>
        <v>5700.0669953020079</v>
      </c>
      <c r="AN153" s="11">
        <f>IF(Components!AO153&gt;0,PPMT(EarningsRate,1,Components!$K153,0,-Components!AO153*((1+InflationRate)^Components!$K153),0),AM153)</f>
        <v>5700.0669953020079</v>
      </c>
      <c r="AO153" s="11">
        <f>IF(Components!AP153&gt;0,PPMT(EarningsRate,1,Components!$K153,0,-Components!AP153*((1+InflationRate)^Components!$K153),0),AN153)</f>
        <v>5700.0669953020079</v>
      </c>
      <c r="AP153" s="214"/>
      <c r="AQ153" s="11">
        <f t="shared" si="3"/>
        <v>128500.14461806155</v>
      </c>
    </row>
    <row r="154" spans="1:43" s="1" customFormat="1">
      <c r="A154" s="220" t="str">
        <f>Components!B154</f>
        <v>Golf Equip</v>
      </c>
      <c r="B154" s="220" t="str">
        <f>Components!C154</f>
        <v>Rake, bunker</v>
      </c>
      <c r="C154" s="211"/>
      <c r="D154" s="211"/>
      <c r="E154" s="211"/>
      <c r="F154" s="88"/>
      <c r="G154" s="212"/>
      <c r="H154" s="212"/>
      <c r="I154" s="212"/>
      <c r="J154" s="211"/>
      <c r="K154" s="11">
        <f>IF('FF Balance'!H154&gt;=0,PPMT(EarningsRate,1,Components!K154,0,-'FF Balance'!G154,0),0)</f>
        <v>2191.3200792269199</v>
      </c>
      <c r="L154" s="11">
        <f>IF(Components!M154&gt;0,PPMT(EarningsRate,1,Components!$K154,0,-Components!M154*((1+InflationRate)^Components!$K154),0),K154)</f>
        <v>2191.3200792269199</v>
      </c>
      <c r="M154" s="11">
        <f>IF(Components!N154&gt;0,PPMT(EarningsRate,1,Components!$K154,0,-Components!N154*((1+InflationRate)^Components!$K154),0),L154)</f>
        <v>2191.3200792269199</v>
      </c>
      <c r="N154" s="11">
        <f>IF(Components!O154&gt;0,PPMT(EarningsRate,1,Components!$K154,0,-Components!O154*((1+InflationRate)^Components!$K154),0),M154)</f>
        <v>2191.3200792269199</v>
      </c>
      <c r="O154" s="11">
        <f>IF(Components!P154&gt;0,PPMT(EarningsRate,1,Components!$K154,0,-Components!P154*((1+InflationRate)^Components!$K154),0),N154)</f>
        <v>2191.3200792269199</v>
      </c>
      <c r="P154" s="11">
        <f>IF(Components!Q154&gt;0,PPMT(EarningsRate,1,Components!$K154,0,-Components!Q154*((1+InflationRate)^Components!$K154),0),O154)</f>
        <v>2191.3200792269199</v>
      </c>
      <c r="Q154" s="11">
        <f>IF(Components!R154&gt;0,PPMT(EarningsRate,1,Components!$K154,0,-Components!R154*((1+InflationRate)^Components!$K154),0),P154)</f>
        <v>2191.3200792269199</v>
      </c>
      <c r="R154" s="11">
        <f>IF(Components!S154&gt;0,PPMT(EarningsRate,1,Components!$K154,0,-Components!S154*((1+InflationRate)^Components!$K154),0),Q154)</f>
        <v>3427.1283180812147</v>
      </c>
      <c r="S154" s="11">
        <f>IF(Components!T154&gt;0,PPMT(EarningsRate,1,Components!$K154,0,-Components!T154*((1+InflationRate)^Components!$K154),0),R154)</f>
        <v>3427.1283180812147</v>
      </c>
      <c r="T154" s="11">
        <f>IF(Components!U154&gt;0,PPMT(EarningsRate,1,Components!$K154,0,-Components!U154*((1+InflationRate)^Components!$K154),0),S154)</f>
        <v>3427.1283180812147</v>
      </c>
      <c r="U154" s="11">
        <f>IF(Components!V154&gt;0,PPMT(EarningsRate,1,Components!$K154,0,-Components!V154*((1+InflationRate)^Components!$K154),0),T154)</f>
        <v>3427.1283180812147</v>
      </c>
      <c r="V154" s="11">
        <f>IF(Components!W154&gt;0,PPMT(EarningsRate,1,Components!$K154,0,-Components!W154*((1+InflationRate)^Components!$K154),0),U154)</f>
        <v>3427.1283180812147</v>
      </c>
      <c r="W154" s="11">
        <f>IF(Components!X154&gt;0,PPMT(EarningsRate,1,Components!$K154,0,-Components!X154*((1+InflationRate)^Components!$K154),0),V154)</f>
        <v>3427.1283180812147</v>
      </c>
      <c r="X154" s="11">
        <f>IF(Components!Y154&gt;0,PPMT(EarningsRate,1,Components!$K154,0,-Components!Y154*((1+InflationRate)^Components!$K154),0),W154)</f>
        <v>3427.1283180812147</v>
      </c>
      <c r="Y154" s="11">
        <f>IF(Components!Z154&gt;0,PPMT(EarningsRate,1,Components!$K154,0,-Components!Z154*((1+InflationRate)^Components!$K154),0),X154)</f>
        <v>3427.1283180812147</v>
      </c>
      <c r="Z154" s="11">
        <f>IF(Components!AA154&gt;0,PPMT(EarningsRate,1,Components!$K154,0,-Components!AA154*((1+InflationRate)^Components!$K154),0),Y154)</f>
        <v>3427.1283180812147</v>
      </c>
      <c r="AA154" s="11">
        <f>IF(Components!AB154&gt;0,PPMT(EarningsRate,1,Components!$K154,0,-Components!AB154*((1+InflationRate)^Components!$K154),0),Z154)</f>
        <v>3427.1283180812147</v>
      </c>
      <c r="AB154" s="11">
        <f>IF(Components!AC154&gt;0,PPMT(EarningsRate,1,Components!$K154,0,-Components!AC154*((1+InflationRate)^Components!$K154),0),AA154)</f>
        <v>3427.1283180812147</v>
      </c>
      <c r="AC154" s="11">
        <f>IF(Components!AD154&gt;0,PPMT(EarningsRate,1,Components!$K154,0,-Components!AD154*((1+InflationRate)^Components!$K154),0),AB154)</f>
        <v>3427.1283180812147</v>
      </c>
      <c r="AD154" s="11">
        <f>IF(Components!AE154&gt;0,PPMT(EarningsRate,1,Components!$K154,0,-Components!AE154*((1+InflationRate)^Components!$K154),0),AC154)</f>
        <v>3427.1283180812147</v>
      </c>
      <c r="AE154" s="11">
        <f>IF(Components!AF154&gt;0,PPMT(EarningsRate,1,Components!$K154,0,-Components!AF154*((1+InflationRate)^Components!$K154),0),AD154)</f>
        <v>5359.8643635043018</v>
      </c>
      <c r="AF154" s="11">
        <f>IF(Components!AG154&gt;0,PPMT(EarningsRate,1,Components!$K154,0,-Components!AG154*((1+InflationRate)^Components!$K154),0),AE154)</f>
        <v>5359.8643635043018</v>
      </c>
      <c r="AG154" s="11">
        <f>IF(Components!AH154&gt;0,PPMT(EarningsRate,1,Components!$K154,0,-Components!AH154*((1+InflationRate)^Components!$K154),0),AF154)</f>
        <v>5359.8643635043018</v>
      </c>
      <c r="AH154" s="11">
        <f>IF(Components!AI154&gt;0,PPMT(EarningsRate,1,Components!$K154,0,-Components!AI154*((1+InflationRate)^Components!$K154),0),AG154)</f>
        <v>5359.8643635043018</v>
      </c>
      <c r="AI154" s="11">
        <f>IF(Components!AJ154&gt;0,PPMT(EarningsRate,1,Components!$K154,0,-Components!AJ154*((1+InflationRate)^Components!$K154),0),AH154)</f>
        <v>5359.8643635043018</v>
      </c>
      <c r="AJ154" s="11">
        <f>IF(Components!AK154&gt;0,PPMT(EarningsRate,1,Components!$K154,0,-Components!AK154*((1+InflationRate)^Components!$K154),0),AI154)</f>
        <v>5359.8643635043018</v>
      </c>
      <c r="AK154" s="11">
        <f>IF(Components!AL154&gt;0,PPMT(EarningsRate,1,Components!$K154,0,-Components!AL154*((1+InflationRate)^Components!$K154),0),AJ154)</f>
        <v>5359.8643635043018</v>
      </c>
      <c r="AL154" s="11">
        <f>IF(Components!AM154&gt;0,PPMT(EarningsRate,1,Components!$K154,0,-Components!AM154*((1+InflationRate)^Components!$K154),0),AK154)</f>
        <v>5359.8643635043018</v>
      </c>
      <c r="AM154" s="11">
        <f>IF(Components!AN154&gt;0,PPMT(EarningsRate,1,Components!$K154,0,-Components!AN154*((1+InflationRate)^Components!$K154),0),AL154)</f>
        <v>5359.8643635043018</v>
      </c>
      <c r="AN154" s="11">
        <f>IF(Components!AO154&gt;0,PPMT(EarningsRate,1,Components!$K154,0,-Components!AO154*((1+InflationRate)^Components!$K154),0),AM154)</f>
        <v>5359.8643635043018</v>
      </c>
      <c r="AO154" s="11">
        <f>IF(Components!AP154&gt;0,PPMT(EarningsRate,1,Components!$K154,0,-Components!AP154*((1+InflationRate)^Components!$K154),0),AN154)</f>
        <v>5359.8643635043018</v>
      </c>
      <c r="AP154" s="214"/>
      <c r="AQ154" s="11">
        <f t="shared" si="3"/>
        <v>118850.41678819152</v>
      </c>
    </row>
    <row r="155" spans="1:43" s="1" customFormat="1">
      <c r="A155" s="220" t="str">
        <f>Components!B155</f>
        <v>Golf Equip</v>
      </c>
      <c r="B155" s="220" t="str">
        <f>Components!C155</f>
        <v>Skid Steer</v>
      </c>
      <c r="C155" s="211"/>
      <c r="D155" s="211"/>
      <c r="E155" s="211"/>
      <c r="F155" s="88"/>
      <c r="G155" s="212"/>
      <c r="H155" s="212"/>
      <c r="I155" s="212"/>
      <c r="J155" s="211"/>
      <c r="K155" s="11">
        <f>IF('FF Balance'!H155&gt;=0,PPMT(EarningsRate,1,Components!K155,0,-'FF Balance'!G155,0),0)</f>
        <v>3918.4150207117818</v>
      </c>
      <c r="L155" s="11">
        <f>IF(Components!M155&gt;0,PPMT(EarningsRate,1,Components!$K155,0,-Components!M155*((1+InflationRate)^Components!$K155),0),K155)</f>
        <v>3918.4150207117818</v>
      </c>
      <c r="M155" s="11">
        <f>IF(Components!N155&gt;0,PPMT(EarningsRate,1,Components!$K155,0,-Components!N155*((1+InflationRate)^Components!$K155),0),L155)</f>
        <v>3918.4150207117818</v>
      </c>
      <c r="N155" s="11">
        <f>IF(Components!O155&gt;0,PPMT(EarningsRate,1,Components!$K155,0,-Components!O155*((1+InflationRate)^Components!$K155),0),M155)</f>
        <v>3918.4150207117818</v>
      </c>
      <c r="O155" s="11">
        <f>IF(Components!P155&gt;0,PPMT(EarningsRate,1,Components!$K155,0,-Components!P155*((1+InflationRate)^Components!$K155),0),N155)</f>
        <v>3918.4150207117818</v>
      </c>
      <c r="P155" s="11">
        <f>IF(Components!Q155&gt;0,PPMT(EarningsRate,1,Components!$K155,0,-Components!Q155*((1+InflationRate)^Components!$K155),0),O155)</f>
        <v>3918.4150207117818</v>
      </c>
      <c r="Q155" s="11">
        <f>IF(Components!R155&gt;0,PPMT(EarningsRate,1,Components!$K155,0,-Components!R155*((1+InflationRate)^Components!$K155),0),P155)</f>
        <v>3918.4150207117818</v>
      </c>
      <c r="R155" s="11">
        <f>IF(Components!S155&gt;0,PPMT(EarningsRate,1,Components!$K155,0,-Components!S155*((1+InflationRate)^Components!$K155),0),Q155)</f>
        <v>3918.4150207117818</v>
      </c>
      <c r="S155" s="11">
        <f>IF(Components!T155&gt;0,PPMT(EarningsRate,1,Components!$K155,0,-Components!T155*((1+InflationRate)^Components!$K155),0),R155)</f>
        <v>3918.4150207117818</v>
      </c>
      <c r="T155" s="11">
        <f>IF(Components!U155&gt;0,PPMT(EarningsRate,1,Components!$K155,0,-Components!U155*((1+InflationRate)^Components!$K155),0),S155)</f>
        <v>3918.4150207117818</v>
      </c>
      <c r="U155" s="11">
        <f>IF(Components!V155&gt;0,PPMT(EarningsRate,1,Components!$K155,0,-Components!V155*((1+InflationRate)^Components!$K155),0),T155)</f>
        <v>3918.4150207117818</v>
      </c>
      <c r="V155" s="11">
        <f>IF(Components!W155&gt;0,PPMT(EarningsRate,1,Components!$K155,0,-Components!W155*((1+InflationRate)^Components!$K155),0),U155)</f>
        <v>3918.4150207117818</v>
      </c>
      <c r="W155" s="11">
        <f>IF(Components!X155&gt;0,PPMT(EarningsRate,1,Components!$K155,0,-Components!X155*((1+InflationRate)^Components!$K155),0),V155)</f>
        <v>3918.4150207117818</v>
      </c>
      <c r="X155" s="11">
        <f>IF(Components!Y155&gt;0,PPMT(EarningsRate,1,Components!$K155,0,-Components!Y155*((1+InflationRate)^Components!$K155),0),W155)</f>
        <v>3918.4150207117818</v>
      </c>
      <c r="Y155" s="11">
        <f>IF(Components!Z155&gt;0,PPMT(EarningsRate,1,Components!$K155,0,-Components!Z155*((1+InflationRate)^Components!$K155),0),X155)</f>
        <v>3918.4150207117818</v>
      </c>
      <c r="Z155" s="11">
        <f>IF(Components!AA155&gt;0,PPMT(EarningsRate,1,Components!$K155,0,-Components!AA155*((1+InflationRate)^Components!$K155),0),Y155)</f>
        <v>3918.4150207117818</v>
      </c>
      <c r="AA155" s="11">
        <f>IF(Components!AB155&gt;0,PPMT(EarningsRate,1,Components!$K155,0,-Components!AB155*((1+InflationRate)^Components!$K155),0),Z155)</f>
        <v>7796.8185706495842</v>
      </c>
      <c r="AB155" s="11">
        <f>IF(Components!AC155&gt;0,PPMT(EarningsRate,1,Components!$K155,0,-Components!AC155*((1+InflationRate)^Components!$K155),0),AA155)</f>
        <v>7796.8185706495842</v>
      </c>
      <c r="AC155" s="11">
        <f>IF(Components!AD155&gt;0,PPMT(EarningsRate,1,Components!$K155,0,-Components!AD155*((1+InflationRate)^Components!$K155),0),AB155)</f>
        <v>7796.8185706495842</v>
      </c>
      <c r="AD155" s="11">
        <f>IF(Components!AE155&gt;0,PPMT(EarningsRate,1,Components!$K155,0,-Components!AE155*((1+InflationRate)^Components!$K155),0),AC155)</f>
        <v>7796.8185706495842</v>
      </c>
      <c r="AE155" s="11">
        <f>IF(Components!AF155&gt;0,PPMT(EarningsRate,1,Components!$K155,0,-Components!AF155*((1+InflationRate)^Components!$K155),0),AD155)</f>
        <v>7796.8185706495842</v>
      </c>
      <c r="AF155" s="11">
        <f>IF(Components!AG155&gt;0,PPMT(EarningsRate,1,Components!$K155,0,-Components!AG155*((1+InflationRate)^Components!$K155),0),AE155)</f>
        <v>7796.8185706495842</v>
      </c>
      <c r="AG155" s="11">
        <f>IF(Components!AH155&gt;0,PPMT(EarningsRate,1,Components!$K155,0,-Components!AH155*((1+InflationRate)^Components!$K155),0),AF155)</f>
        <v>7796.8185706495842</v>
      </c>
      <c r="AH155" s="11">
        <f>IF(Components!AI155&gt;0,PPMT(EarningsRate,1,Components!$K155,0,-Components!AI155*((1+InflationRate)^Components!$K155),0),AG155)</f>
        <v>7796.8185706495842</v>
      </c>
      <c r="AI155" s="11">
        <f>IF(Components!AJ155&gt;0,PPMT(EarningsRate,1,Components!$K155,0,-Components!AJ155*((1+InflationRate)^Components!$K155),0),AH155)</f>
        <v>7796.8185706495842</v>
      </c>
      <c r="AJ155" s="11">
        <f>IF(Components!AK155&gt;0,PPMT(EarningsRate,1,Components!$K155,0,-Components!AK155*((1+InflationRate)^Components!$K155),0),AI155)</f>
        <v>7796.8185706495842</v>
      </c>
      <c r="AK155" s="11">
        <f>IF(Components!AL155&gt;0,PPMT(EarningsRate,1,Components!$K155,0,-Components!AL155*((1+InflationRate)^Components!$K155),0),AJ155)</f>
        <v>7796.8185706495842</v>
      </c>
      <c r="AL155" s="11">
        <f>IF(Components!AM155&gt;0,PPMT(EarningsRate,1,Components!$K155,0,-Components!AM155*((1+InflationRate)^Components!$K155),0),AK155)</f>
        <v>7796.8185706495842</v>
      </c>
      <c r="AM155" s="11">
        <f>IF(Components!AN155&gt;0,PPMT(EarningsRate,1,Components!$K155,0,-Components!AN155*((1+InflationRate)^Components!$K155),0),AL155)</f>
        <v>7796.8185706495842</v>
      </c>
      <c r="AN155" s="11">
        <f>IF(Components!AO155&gt;0,PPMT(EarningsRate,1,Components!$K155,0,-Components!AO155*((1+InflationRate)^Components!$K155),0),AM155)</f>
        <v>7796.8185706495842</v>
      </c>
      <c r="AO155" s="11">
        <f>IF(Components!AP155&gt;0,PPMT(EarningsRate,1,Components!$K155,0,-Components!AP155*((1+InflationRate)^Components!$K155),0),AN155)</f>
        <v>7796.8185706495842</v>
      </c>
      <c r="AP155" s="214"/>
      <c r="AQ155" s="11">
        <f t="shared" si="3"/>
        <v>179646.91899113217</v>
      </c>
    </row>
    <row r="156" spans="1:43" s="1" customFormat="1">
      <c r="A156" s="220" t="str">
        <f>Components!B156</f>
        <v>Golf Equip</v>
      </c>
      <c r="B156" s="220" t="str">
        <f>Components!C156</f>
        <v>Spare Greens Reels</v>
      </c>
      <c r="C156" s="211"/>
      <c r="D156" s="211"/>
      <c r="E156" s="211"/>
      <c r="F156" s="88"/>
      <c r="G156" s="212"/>
      <c r="H156" s="212"/>
      <c r="I156" s="212"/>
      <c r="J156" s="211"/>
      <c r="K156" s="11">
        <f>IF('FF Balance'!H156&gt;=0,PPMT(EarningsRate,1,Components!K156,0,-'FF Balance'!G156,0),0)</f>
        <v>1191.4637860960179</v>
      </c>
      <c r="L156" s="11">
        <f>IF(Components!M156&gt;0,PPMT(EarningsRate,1,Components!$K156,0,-Components!M156*((1+InflationRate)^Components!$K156),0),K156)</f>
        <v>1191.4637860960179</v>
      </c>
      <c r="M156" s="11">
        <f>IF(Components!N156&gt;0,PPMT(EarningsRate,1,Components!$K156,0,-Components!N156*((1+InflationRate)^Components!$K156),0),L156)</f>
        <v>1191.4637860960179</v>
      </c>
      <c r="N156" s="11">
        <f>IF(Components!O156&gt;0,PPMT(EarningsRate,1,Components!$K156,0,-Components!O156*((1+InflationRate)^Components!$K156),0),M156)</f>
        <v>1191.4637860960179</v>
      </c>
      <c r="O156" s="11">
        <f>IF(Components!P156&gt;0,PPMT(EarningsRate,1,Components!$K156,0,-Components!P156*((1+InflationRate)^Components!$K156),0),N156)</f>
        <v>1191.4637860960179</v>
      </c>
      <c r="P156" s="11">
        <f>IF(Components!Q156&gt;0,PPMT(EarningsRate,1,Components!$K156,0,-Components!Q156*((1+InflationRate)^Components!$K156),0),O156)</f>
        <v>1191.4637860960179</v>
      </c>
      <c r="Q156" s="11">
        <f>IF(Components!R156&gt;0,PPMT(EarningsRate,1,Components!$K156,0,-Components!R156*((1+InflationRate)^Components!$K156),0),P156)</f>
        <v>1191.4637860960179</v>
      </c>
      <c r="R156" s="11">
        <f>IF(Components!S156&gt;0,PPMT(EarningsRate,1,Components!$K156,0,-Components!S156*((1+InflationRate)^Components!$K156),0),Q156)</f>
        <v>1680.6773399919912</v>
      </c>
      <c r="S156" s="11">
        <f>IF(Components!T156&gt;0,PPMT(EarningsRate,1,Components!$K156,0,-Components!T156*((1+InflationRate)^Components!$K156),0),R156)</f>
        <v>1680.6773399919912</v>
      </c>
      <c r="T156" s="11">
        <f>IF(Components!U156&gt;0,PPMT(EarningsRate,1,Components!$K156,0,-Components!U156*((1+InflationRate)^Components!$K156),0),S156)</f>
        <v>1680.6773399919912</v>
      </c>
      <c r="U156" s="11">
        <f>IF(Components!V156&gt;0,PPMT(EarningsRate,1,Components!$K156,0,-Components!V156*((1+InflationRate)^Components!$K156),0),T156)</f>
        <v>1680.6773399919912</v>
      </c>
      <c r="V156" s="11">
        <f>IF(Components!W156&gt;0,PPMT(EarningsRate,1,Components!$K156,0,-Components!W156*((1+InflationRate)^Components!$K156),0),U156)</f>
        <v>1680.6773399919912</v>
      </c>
      <c r="W156" s="11">
        <f>IF(Components!X156&gt;0,PPMT(EarningsRate,1,Components!$K156,0,-Components!X156*((1+InflationRate)^Components!$K156),0),V156)</f>
        <v>1680.6773399919912</v>
      </c>
      <c r="X156" s="11">
        <f>IF(Components!Y156&gt;0,PPMT(EarningsRate,1,Components!$K156,0,-Components!Y156*((1+InflationRate)^Components!$K156),0),W156)</f>
        <v>1680.6773399919912</v>
      </c>
      <c r="Y156" s="11">
        <f>IF(Components!Z156&gt;0,PPMT(EarningsRate,1,Components!$K156,0,-Components!Z156*((1+InflationRate)^Components!$K156),0),X156)</f>
        <v>1680.6773399919912</v>
      </c>
      <c r="Z156" s="11">
        <f>IF(Components!AA156&gt;0,PPMT(EarningsRate,1,Components!$K156,0,-Components!AA156*((1+InflationRate)^Components!$K156),0),Y156)</f>
        <v>1680.6773399919912</v>
      </c>
      <c r="AA156" s="11">
        <f>IF(Components!AB156&gt;0,PPMT(EarningsRate,1,Components!$K156,0,-Components!AB156*((1+InflationRate)^Components!$K156),0),Z156)</f>
        <v>1680.6773399919912</v>
      </c>
      <c r="AB156" s="11">
        <f>IF(Components!AC156&gt;0,PPMT(EarningsRate,1,Components!$K156,0,-Components!AC156*((1+InflationRate)^Components!$K156),0),AA156)</f>
        <v>2370.7219582200478</v>
      </c>
      <c r="AC156" s="11">
        <f>IF(Components!AD156&gt;0,PPMT(EarningsRate,1,Components!$K156,0,-Components!AD156*((1+InflationRate)^Components!$K156),0),AB156)</f>
        <v>2370.7219582200478</v>
      </c>
      <c r="AD156" s="11">
        <f>IF(Components!AE156&gt;0,PPMT(EarningsRate,1,Components!$K156,0,-Components!AE156*((1+InflationRate)^Components!$K156),0),AC156)</f>
        <v>2370.7219582200478</v>
      </c>
      <c r="AE156" s="11">
        <f>IF(Components!AF156&gt;0,PPMT(EarningsRate,1,Components!$K156,0,-Components!AF156*((1+InflationRate)^Components!$K156),0),AD156)</f>
        <v>2370.7219582200478</v>
      </c>
      <c r="AF156" s="11">
        <f>IF(Components!AG156&gt;0,PPMT(EarningsRate,1,Components!$K156,0,-Components!AG156*((1+InflationRate)^Components!$K156),0),AE156)</f>
        <v>2370.7219582200478</v>
      </c>
      <c r="AG156" s="11">
        <f>IF(Components!AH156&gt;0,PPMT(EarningsRate,1,Components!$K156,0,-Components!AH156*((1+InflationRate)^Components!$K156),0),AF156)</f>
        <v>2370.7219582200478</v>
      </c>
      <c r="AH156" s="11">
        <f>IF(Components!AI156&gt;0,PPMT(EarningsRate,1,Components!$K156,0,-Components!AI156*((1+InflationRate)^Components!$K156),0),AG156)</f>
        <v>2370.7219582200478</v>
      </c>
      <c r="AI156" s="11">
        <f>IF(Components!AJ156&gt;0,PPMT(EarningsRate,1,Components!$K156,0,-Components!AJ156*((1+InflationRate)^Components!$K156),0),AH156)</f>
        <v>2370.7219582200478</v>
      </c>
      <c r="AJ156" s="11">
        <f>IF(Components!AK156&gt;0,PPMT(EarningsRate,1,Components!$K156,0,-Components!AK156*((1+InflationRate)^Components!$K156),0),AI156)</f>
        <v>2370.7219582200478</v>
      </c>
      <c r="AK156" s="11">
        <f>IF(Components!AL156&gt;0,PPMT(EarningsRate,1,Components!$K156,0,-Components!AL156*((1+InflationRate)^Components!$K156),0),AJ156)</f>
        <v>2370.7219582200478</v>
      </c>
      <c r="AL156" s="11">
        <f>IF(Components!AM156&gt;0,PPMT(EarningsRate,1,Components!$K156,0,-Components!AM156*((1+InflationRate)^Components!$K156),0),AK156)</f>
        <v>3344.1708890821878</v>
      </c>
      <c r="AM156" s="11">
        <f>IF(Components!AN156&gt;0,PPMT(EarningsRate,1,Components!$K156,0,-Components!AN156*((1+InflationRate)^Components!$K156),0),AL156)</f>
        <v>3344.1708890821878</v>
      </c>
      <c r="AN156" s="11">
        <f>IF(Components!AO156&gt;0,PPMT(EarningsRate,1,Components!$K156,0,-Components!AO156*((1+InflationRate)^Components!$K156),0),AM156)</f>
        <v>3344.1708890821878</v>
      </c>
      <c r="AO156" s="11">
        <f>IF(Components!AP156&gt;0,PPMT(EarningsRate,1,Components!$K156,0,-Components!AP156*((1+InflationRate)^Components!$K156),0),AN156)</f>
        <v>3344.1708890821878</v>
      </c>
      <c r="AP156" s="214"/>
      <c r="AQ156" s="11">
        <f t="shared" si="3"/>
        <v>62230.923141121282</v>
      </c>
    </row>
    <row r="157" spans="1:43" s="1" customFormat="1">
      <c r="A157" s="220" t="str">
        <f>Components!B157</f>
        <v>Golf Equip</v>
      </c>
      <c r="B157" s="220" t="str">
        <f>Components!C157</f>
        <v>Spare Tees Reels</v>
      </c>
      <c r="C157" s="211"/>
      <c r="D157" s="211"/>
      <c r="E157" s="211"/>
      <c r="F157" s="88"/>
      <c r="G157" s="212"/>
      <c r="H157" s="212"/>
      <c r="I157" s="212"/>
      <c r="J157" s="211"/>
      <c r="K157" s="11">
        <f>IF('FF Balance'!H157&gt;=0,PPMT(EarningsRate,1,Components!K157,0,-'FF Balance'!G157,0),0)</f>
        <v>1248.1914987866876</v>
      </c>
      <c r="L157" s="11">
        <f>IF(Components!M157&gt;0,PPMT(EarningsRate,1,Components!$K157,0,-Components!M157*((1+InflationRate)^Components!$K157),0),K157)</f>
        <v>1248.1914987866876</v>
      </c>
      <c r="M157" s="11">
        <f>IF(Components!N157&gt;0,PPMT(EarningsRate,1,Components!$K157,0,-Components!N157*((1+InflationRate)^Components!$K157),0),L157)</f>
        <v>1248.1914987866876</v>
      </c>
      <c r="N157" s="11">
        <f>IF(Components!O157&gt;0,PPMT(EarningsRate,1,Components!$K157,0,-Components!O157*((1+InflationRate)^Components!$K157),0),M157)</f>
        <v>1248.1914987866876</v>
      </c>
      <c r="O157" s="11">
        <f>IF(Components!P157&gt;0,PPMT(EarningsRate,1,Components!$K157,0,-Components!P157*((1+InflationRate)^Components!$K157),0),N157)</f>
        <v>1248.1914987866876</v>
      </c>
      <c r="P157" s="11">
        <f>IF(Components!Q157&gt;0,PPMT(EarningsRate,1,Components!$K157,0,-Components!Q157*((1+InflationRate)^Components!$K157),0),O157)</f>
        <v>1248.1914987866876</v>
      </c>
      <c r="Q157" s="11">
        <f>IF(Components!R157&gt;0,PPMT(EarningsRate,1,Components!$K157,0,-Components!R157*((1+InflationRate)^Components!$K157),0),P157)</f>
        <v>1248.1914987866876</v>
      </c>
      <c r="R157" s="11">
        <f>IF(Components!S157&gt;0,PPMT(EarningsRate,1,Components!$K157,0,-Components!S157*((1+InflationRate)^Components!$K157),0),Q157)</f>
        <v>1248.1914987866876</v>
      </c>
      <c r="S157" s="11">
        <f>IF(Components!T157&gt;0,PPMT(EarningsRate,1,Components!$K157,0,-Components!T157*((1+InflationRate)^Components!$K157),0),R157)</f>
        <v>1248.1914987866876</v>
      </c>
      <c r="T157" s="11">
        <f>IF(Components!U157&gt;0,PPMT(EarningsRate,1,Components!$K157,0,-Components!U157*((1+InflationRate)^Components!$K157),0),S157)</f>
        <v>1248.1914987866876</v>
      </c>
      <c r="U157" s="11">
        <f>IF(Components!V157&gt;0,PPMT(EarningsRate,1,Components!$K157,0,-Components!V157*((1+InflationRate)^Components!$K157),0),T157)</f>
        <v>1760.6973812063209</v>
      </c>
      <c r="V157" s="11">
        <f>IF(Components!W157&gt;0,PPMT(EarningsRate,1,Components!$K157,0,-Components!W157*((1+InflationRate)^Components!$K157),0),U157)</f>
        <v>1760.6973812063209</v>
      </c>
      <c r="W157" s="11">
        <f>IF(Components!X157&gt;0,PPMT(EarningsRate,1,Components!$K157,0,-Components!X157*((1+InflationRate)^Components!$K157),0),V157)</f>
        <v>1760.6973812063209</v>
      </c>
      <c r="X157" s="11">
        <f>IF(Components!Y157&gt;0,PPMT(EarningsRate,1,Components!$K157,0,-Components!Y157*((1+InflationRate)^Components!$K157),0),W157)</f>
        <v>1760.6973812063209</v>
      </c>
      <c r="Y157" s="11">
        <f>IF(Components!Z157&gt;0,PPMT(EarningsRate,1,Components!$K157,0,-Components!Z157*((1+InflationRate)^Components!$K157),0),X157)</f>
        <v>1760.6973812063209</v>
      </c>
      <c r="Z157" s="11">
        <f>IF(Components!AA157&gt;0,PPMT(EarningsRate,1,Components!$K157,0,-Components!AA157*((1+InflationRate)^Components!$K157),0),Y157)</f>
        <v>1760.6973812063209</v>
      </c>
      <c r="AA157" s="11">
        <f>IF(Components!AB157&gt;0,PPMT(EarningsRate,1,Components!$K157,0,-Components!AB157*((1+InflationRate)^Components!$K157),0),Z157)</f>
        <v>1760.6973812063209</v>
      </c>
      <c r="AB157" s="11">
        <f>IF(Components!AC157&gt;0,PPMT(EarningsRate,1,Components!$K157,0,-Components!AC157*((1+InflationRate)^Components!$K157),0),AA157)</f>
        <v>1760.6973812063209</v>
      </c>
      <c r="AC157" s="11">
        <f>IF(Components!AD157&gt;0,PPMT(EarningsRate,1,Components!$K157,0,-Components!AD157*((1+InflationRate)^Components!$K157),0),AB157)</f>
        <v>1760.6973812063209</v>
      </c>
      <c r="AD157" s="11">
        <f>IF(Components!AE157&gt;0,PPMT(EarningsRate,1,Components!$K157,0,-Components!AE157*((1+InflationRate)^Components!$K157),0),AC157)</f>
        <v>1760.6973812063209</v>
      </c>
      <c r="AE157" s="11">
        <f>IF(Components!AF157&gt;0,PPMT(EarningsRate,1,Components!$K157,0,-Components!AF157*((1+InflationRate)^Components!$K157),0),AD157)</f>
        <v>2483.570734291538</v>
      </c>
      <c r="AF157" s="11">
        <f>IF(Components!AG157&gt;0,PPMT(EarningsRate,1,Components!$K157,0,-Components!AG157*((1+InflationRate)^Components!$K157),0),AE157)</f>
        <v>2483.570734291538</v>
      </c>
      <c r="AG157" s="11">
        <f>IF(Components!AH157&gt;0,PPMT(EarningsRate,1,Components!$K157,0,-Components!AH157*((1+InflationRate)^Components!$K157),0),AF157)</f>
        <v>2483.570734291538</v>
      </c>
      <c r="AH157" s="11">
        <f>IF(Components!AI157&gt;0,PPMT(EarningsRate,1,Components!$K157,0,-Components!AI157*((1+InflationRate)^Components!$K157),0),AG157)</f>
        <v>2483.570734291538</v>
      </c>
      <c r="AI157" s="11">
        <f>IF(Components!AJ157&gt;0,PPMT(EarningsRate,1,Components!$K157,0,-Components!AJ157*((1+InflationRate)^Components!$K157),0),AH157)</f>
        <v>2483.570734291538</v>
      </c>
      <c r="AJ157" s="11">
        <f>IF(Components!AK157&gt;0,PPMT(EarningsRate,1,Components!$K157,0,-Components!AK157*((1+InflationRate)^Components!$K157),0),AI157)</f>
        <v>2483.570734291538</v>
      </c>
      <c r="AK157" s="11">
        <f>IF(Components!AL157&gt;0,PPMT(EarningsRate,1,Components!$K157,0,-Components!AL157*((1+InflationRate)^Components!$K157),0),AJ157)</f>
        <v>2483.570734291538</v>
      </c>
      <c r="AL157" s="11">
        <f>IF(Components!AM157&gt;0,PPMT(EarningsRate,1,Components!$K157,0,-Components!AM157*((1+InflationRate)^Components!$K157),0),AK157)</f>
        <v>2483.570734291538</v>
      </c>
      <c r="AM157" s="11">
        <f>IF(Components!AN157&gt;0,PPMT(EarningsRate,1,Components!$K157,0,-Components!AN157*((1+InflationRate)^Components!$K157),0),AL157)</f>
        <v>2483.570734291538</v>
      </c>
      <c r="AN157" s="11">
        <f>IF(Components!AO157&gt;0,PPMT(EarningsRate,1,Components!$K157,0,-Components!AO157*((1+InflationRate)^Components!$K157),0),AM157)</f>
        <v>2483.570734291538</v>
      </c>
      <c r="AO157" s="11">
        <f>IF(Components!AP157&gt;0,PPMT(EarningsRate,1,Components!$K157,0,-Components!AP157*((1+InflationRate)^Components!$K157),0),AN157)</f>
        <v>3503.4415480376324</v>
      </c>
      <c r="AP157" s="214"/>
      <c r="AQ157" s="11">
        <f t="shared" si="3"/>
        <v>58428.037790883136</v>
      </c>
    </row>
    <row r="158" spans="1:43" s="1" customFormat="1">
      <c r="A158" s="220" t="str">
        <f>Components!B158</f>
        <v>Golf Equip</v>
      </c>
      <c r="B158" s="220" t="str">
        <f>Components!C158</f>
        <v>Spray Pro</v>
      </c>
      <c r="C158" s="211"/>
      <c r="D158" s="211"/>
      <c r="E158" s="211"/>
      <c r="F158" s="88"/>
      <c r="G158" s="212"/>
      <c r="H158" s="212"/>
      <c r="I158" s="212"/>
      <c r="J158" s="211"/>
      <c r="K158" s="11">
        <f>IF('FF Balance'!H158&gt;=0,PPMT(EarningsRate,1,Components!K158,0,-'FF Balance'!G158,0),0)</f>
        <v>1838.5308734257644</v>
      </c>
      <c r="L158" s="11">
        <f>IF(Components!M158&gt;0,PPMT(EarningsRate,1,Components!$K158,0,-Components!M158*((1+InflationRate)^Components!$K158),0),K158)</f>
        <v>1838.5308734257644</v>
      </c>
      <c r="M158" s="11">
        <f>IF(Components!N158&gt;0,PPMT(EarningsRate,1,Components!$K158,0,-Components!N158*((1+InflationRate)^Components!$K158),0),L158)</f>
        <v>1838.5308734257644</v>
      </c>
      <c r="N158" s="11">
        <f>IF(Components!O158&gt;0,PPMT(EarningsRate,1,Components!$K158,0,-Components!O158*((1+InflationRate)^Components!$K158),0),M158)</f>
        <v>1838.5308734257644</v>
      </c>
      <c r="O158" s="11">
        <f>IF(Components!P158&gt;0,PPMT(EarningsRate,1,Components!$K158,0,-Components!P158*((1+InflationRate)^Components!$K158),0),N158)</f>
        <v>1838.5308734257644</v>
      </c>
      <c r="P158" s="11">
        <f>IF(Components!Q158&gt;0,PPMT(EarningsRate,1,Components!$K158,0,-Components!Q158*((1+InflationRate)^Components!$K158),0),O158)</f>
        <v>1838.5308734257644</v>
      </c>
      <c r="Q158" s="11">
        <f>IF(Components!R158&gt;0,PPMT(EarningsRate,1,Components!$K158,0,-Components!R158*((1+InflationRate)^Components!$K158),0),P158)</f>
        <v>1838.5308734257644</v>
      </c>
      <c r="R158" s="11">
        <f>IF(Components!S158&gt;0,PPMT(EarningsRate,1,Components!$K158,0,-Components!S158*((1+InflationRate)^Components!$K158),0),Q158)</f>
        <v>1838.5308734257644</v>
      </c>
      <c r="S158" s="11">
        <f>IF(Components!T158&gt;0,PPMT(EarningsRate,1,Components!$K158,0,-Components!T158*((1+InflationRate)^Components!$K158),0),R158)</f>
        <v>3658.2882570807142</v>
      </c>
      <c r="T158" s="11">
        <f>IF(Components!U158&gt;0,PPMT(EarningsRate,1,Components!$K158,0,-Components!U158*((1+InflationRate)^Components!$K158),0),S158)</f>
        <v>3658.2882570807142</v>
      </c>
      <c r="U158" s="11">
        <f>IF(Components!V158&gt;0,PPMT(EarningsRate,1,Components!$K158,0,-Components!V158*((1+InflationRate)^Components!$K158),0),T158)</f>
        <v>3658.2882570807142</v>
      </c>
      <c r="V158" s="11">
        <f>IF(Components!W158&gt;0,PPMT(EarningsRate,1,Components!$K158,0,-Components!W158*((1+InflationRate)^Components!$K158),0),U158)</f>
        <v>3658.2882570807142</v>
      </c>
      <c r="W158" s="11">
        <f>IF(Components!X158&gt;0,PPMT(EarningsRate,1,Components!$K158,0,-Components!X158*((1+InflationRate)^Components!$K158),0),V158)</f>
        <v>3658.2882570807142</v>
      </c>
      <c r="X158" s="11">
        <f>IF(Components!Y158&gt;0,PPMT(EarningsRate,1,Components!$K158,0,-Components!Y158*((1+InflationRate)^Components!$K158),0),W158)</f>
        <v>3658.2882570807142</v>
      </c>
      <c r="Y158" s="11">
        <f>IF(Components!Z158&gt;0,PPMT(EarningsRate,1,Components!$K158,0,-Components!Z158*((1+InflationRate)^Components!$K158),0),X158)</f>
        <v>3658.2882570807142</v>
      </c>
      <c r="Z158" s="11">
        <f>IF(Components!AA158&gt;0,PPMT(EarningsRate,1,Components!$K158,0,-Components!AA158*((1+InflationRate)^Components!$K158),0),Y158)</f>
        <v>3658.2882570807142</v>
      </c>
      <c r="AA158" s="11">
        <f>IF(Components!AB158&gt;0,PPMT(EarningsRate,1,Components!$K158,0,-Components!AB158*((1+InflationRate)^Components!$K158),0),Z158)</f>
        <v>3658.2882570807142</v>
      </c>
      <c r="AB158" s="11">
        <f>IF(Components!AC158&gt;0,PPMT(EarningsRate,1,Components!$K158,0,-Components!AC158*((1+InflationRate)^Components!$K158),0),AA158)</f>
        <v>3658.2882570807142</v>
      </c>
      <c r="AC158" s="11">
        <f>IF(Components!AD158&gt;0,PPMT(EarningsRate,1,Components!$K158,0,-Components!AD158*((1+InflationRate)^Components!$K158),0),AB158)</f>
        <v>3658.2882570807142</v>
      </c>
      <c r="AD158" s="11">
        <f>IF(Components!AE158&gt;0,PPMT(EarningsRate,1,Components!$K158,0,-Components!AE158*((1+InflationRate)^Components!$K158),0),AC158)</f>
        <v>3658.2882570807142</v>
      </c>
      <c r="AE158" s="11">
        <f>IF(Components!AF158&gt;0,PPMT(EarningsRate,1,Components!$K158,0,-Components!AF158*((1+InflationRate)^Components!$K158),0),AD158)</f>
        <v>3658.2882570807142</v>
      </c>
      <c r="AF158" s="11">
        <f>IF(Components!AG158&gt;0,PPMT(EarningsRate,1,Components!$K158,0,-Components!AG158*((1+InflationRate)^Components!$K158),0),AE158)</f>
        <v>3658.2882570807142</v>
      </c>
      <c r="AG158" s="11">
        <f>IF(Components!AH158&gt;0,PPMT(EarningsRate,1,Components!$K158,0,-Components!AH158*((1+InflationRate)^Components!$K158),0),AF158)</f>
        <v>3658.2882570807142</v>
      </c>
      <c r="AH158" s="11">
        <f>IF(Components!AI158&gt;0,PPMT(EarningsRate,1,Components!$K158,0,-Components!AI158*((1+InflationRate)^Components!$K158),0),AG158)</f>
        <v>3658.2882570807142</v>
      </c>
      <c r="AI158" s="11">
        <f>IF(Components!AJ158&gt;0,PPMT(EarningsRate,1,Components!$K158,0,-Components!AJ158*((1+InflationRate)^Components!$K158),0),AH158)</f>
        <v>3658.2882570807142</v>
      </c>
      <c r="AJ158" s="11">
        <f>IF(Components!AK158&gt;0,PPMT(EarningsRate,1,Components!$K158,0,-Components!AK158*((1+InflationRate)^Components!$K158),0),AI158)</f>
        <v>3658.2882570807142</v>
      </c>
      <c r="AK158" s="11">
        <f>IF(Components!AL158&gt;0,PPMT(EarningsRate,1,Components!$K158,0,-Components!AL158*((1+InflationRate)^Components!$K158),0),AJ158)</f>
        <v>3658.2882570807142</v>
      </c>
      <c r="AL158" s="11">
        <f>IF(Components!AM158&gt;0,PPMT(EarningsRate,1,Components!$K158,0,-Components!AM158*((1+InflationRate)^Components!$K158),0),AK158)</f>
        <v>3658.2882570807142</v>
      </c>
      <c r="AM158" s="11">
        <f>IF(Components!AN158&gt;0,PPMT(EarningsRate,1,Components!$K158,0,-Components!AN158*((1+InflationRate)^Components!$K158),0),AL158)</f>
        <v>7279.1982281507862</v>
      </c>
      <c r="AN158" s="11">
        <f>IF(Components!AO158&gt;0,PPMT(EarningsRate,1,Components!$K158,0,-Components!AO158*((1+InflationRate)^Components!$K158),0),AM158)</f>
        <v>7279.1982281507862</v>
      </c>
      <c r="AO158" s="11">
        <f>IF(Components!AP158&gt;0,PPMT(EarningsRate,1,Components!$K158,0,-Components!AP158*((1+InflationRate)^Components!$K158),0),AN158)</f>
        <v>7279.1982281507862</v>
      </c>
      <c r="AP158" s="214"/>
      <c r="AQ158" s="11">
        <f t="shared" si="3"/>
        <v>109711.60691347271</v>
      </c>
    </row>
    <row r="159" spans="1:43" s="1" customFormat="1">
      <c r="A159" s="220" t="str">
        <f>Components!B159</f>
        <v>Golf Equip</v>
      </c>
      <c r="B159" s="220" t="str">
        <f>Components!C159</f>
        <v>Stump Grinder Attachment</v>
      </c>
      <c r="C159" s="211"/>
      <c r="D159" s="211"/>
      <c r="E159" s="211"/>
      <c r="F159" s="88"/>
      <c r="G159" s="212"/>
      <c r="H159" s="212"/>
      <c r="I159" s="212"/>
      <c r="J159" s="211"/>
      <c r="K159" s="11">
        <f>IF('FF Balance'!H159&gt;=0,PPMT(EarningsRate,1,Components!K159,0,-'FF Balance'!G159,0),0)</f>
        <v>689.17911882466251</v>
      </c>
      <c r="L159" s="11">
        <f>IF(Components!M159&gt;0,PPMT(EarningsRate,1,Components!$K159,0,-Components!M159*((1+InflationRate)^Components!$K159),0),K159)</f>
        <v>689.17911882466251</v>
      </c>
      <c r="M159" s="11">
        <f>IF(Components!N159&gt;0,PPMT(EarningsRate,1,Components!$K159,0,-Components!N159*((1+InflationRate)^Components!$K159),0),L159)</f>
        <v>689.17911882466251</v>
      </c>
      <c r="N159" s="11">
        <f>IF(Components!O159&gt;0,PPMT(EarningsRate,1,Components!$K159,0,-Components!O159*((1+InflationRate)^Components!$K159),0),M159)</f>
        <v>689.17911882466251</v>
      </c>
      <c r="O159" s="11">
        <f>IF(Components!P159&gt;0,PPMT(EarningsRate,1,Components!$K159,0,-Components!P159*((1+InflationRate)^Components!$K159),0),N159)</f>
        <v>689.17911882466251</v>
      </c>
      <c r="P159" s="11">
        <f>IF(Components!Q159&gt;0,PPMT(EarningsRate,1,Components!$K159,0,-Components!Q159*((1+InflationRate)^Components!$K159),0),O159)</f>
        <v>689.17911882466251</v>
      </c>
      <c r="Q159" s="11">
        <f>IF(Components!R159&gt;0,PPMT(EarningsRate,1,Components!$K159,0,-Components!R159*((1+InflationRate)^Components!$K159),0),P159)</f>
        <v>689.17911882466251</v>
      </c>
      <c r="R159" s="11">
        <f>IF(Components!S159&gt;0,PPMT(EarningsRate,1,Components!$K159,0,-Components!S159*((1+InflationRate)^Components!$K159),0),Q159)</f>
        <v>689.17911882466251</v>
      </c>
      <c r="S159" s="11">
        <f>IF(Components!T159&gt;0,PPMT(EarningsRate,1,Components!$K159,0,-Components!T159*((1+InflationRate)^Components!$K159),0),R159)</f>
        <v>689.17911882466251</v>
      </c>
      <c r="T159" s="11">
        <f>IF(Components!U159&gt;0,PPMT(EarningsRate,1,Components!$K159,0,-Components!U159*((1+InflationRate)^Components!$K159),0),S159)</f>
        <v>689.17911882466251</v>
      </c>
      <c r="U159" s="11">
        <f>IF(Components!V159&gt;0,PPMT(EarningsRate,1,Components!$K159,0,-Components!V159*((1+InflationRate)^Components!$K159),0),T159)</f>
        <v>689.17911882466251</v>
      </c>
      <c r="V159" s="11">
        <f>IF(Components!W159&gt;0,PPMT(EarningsRate,1,Components!$K159,0,-Components!W159*((1+InflationRate)^Components!$K159),0),U159)</f>
        <v>689.17911882466251</v>
      </c>
      <c r="W159" s="11">
        <f>IF(Components!X159&gt;0,PPMT(EarningsRate,1,Components!$K159,0,-Components!X159*((1+InflationRate)^Components!$K159),0),V159)</f>
        <v>689.17911882466251</v>
      </c>
      <c r="X159" s="11">
        <f>IF(Components!Y159&gt;0,PPMT(EarningsRate,1,Components!$K159,0,-Components!Y159*((1+InflationRate)^Components!$K159),0),W159)</f>
        <v>689.17911882466251</v>
      </c>
      <c r="Y159" s="11">
        <f>IF(Components!Z159&gt;0,PPMT(EarningsRate,1,Components!$K159,0,-Components!Z159*((1+InflationRate)^Components!$K159),0),X159)</f>
        <v>689.17911882466251</v>
      </c>
      <c r="Z159" s="11">
        <f>IF(Components!AA159&gt;0,PPMT(EarningsRate,1,Components!$K159,0,-Components!AA159*((1+InflationRate)^Components!$K159),0),Y159)</f>
        <v>689.17911882466251</v>
      </c>
      <c r="AA159" s="11">
        <f>IF(Components!AB159&gt;0,PPMT(EarningsRate,1,Components!$K159,0,-Components!AB159*((1+InflationRate)^Components!$K159),0),Z159)</f>
        <v>689.17911882466251</v>
      </c>
      <c r="AB159" s="11">
        <f>IF(Components!AC159&gt;0,PPMT(EarningsRate,1,Components!$K159,0,-Components!AC159*((1+InflationRate)^Components!$K159),0),AA159)</f>
        <v>1371.3209355705162</v>
      </c>
      <c r="AC159" s="11">
        <f>IF(Components!AD159&gt;0,PPMT(EarningsRate,1,Components!$K159,0,-Components!AD159*((1+InflationRate)^Components!$K159),0),AB159)</f>
        <v>1371.3209355705162</v>
      </c>
      <c r="AD159" s="11">
        <f>IF(Components!AE159&gt;0,PPMT(EarningsRate,1,Components!$K159,0,-Components!AE159*((1+InflationRate)^Components!$K159),0),AC159)</f>
        <v>1371.3209355705162</v>
      </c>
      <c r="AE159" s="11">
        <f>IF(Components!AF159&gt;0,PPMT(EarningsRate,1,Components!$K159,0,-Components!AF159*((1+InflationRate)^Components!$K159),0),AD159)</f>
        <v>1371.3209355705162</v>
      </c>
      <c r="AF159" s="11">
        <f>IF(Components!AG159&gt;0,PPMT(EarningsRate,1,Components!$K159,0,-Components!AG159*((1+InflationRate)^Components!$K159),0),AE159)</f>
        <v>1371.3209355705162</v>
      </c>
      <c r="AG159" s="11">
        <f>IF(Components!AH159&gt;0,PPMT(EarningsRate,1,Components!$K159,0,-Components!AH159*((1+InflationRate)^Components!$K159),0),AF159)</f>
        <v>1371.3209355705162</v>
      </c>
      <c r="AH159" s="11">
        <f>IF(Components!AI159&gt;0,PPMT(EarningsRate,1,Components!$K159,0,-Components!AI159*((1+InflationRate)^Components!$K159),0),AG159)</f>
        <v>1371.3209355705162</v>
      </c>
      <c r="AI159" s="11">
        <f>IF(Components!AJ159&gt;0,PPMT(EarningsRate,1,Components!$K159,0,-Components!AJ159*((1+InflationRate)^Components!$K159),0),AH159)</f>
        <v>1371.3209355705162</v>
      </c>
      <c r="AJ159" s="11">
        <f>IF(Components!AK159&gt;0,PPMT(EarningsRate,1,Components!$K159,0,-Components!AK159*((1+InflationRate)^Components!$K159),0),AI159)</f>
        <v>1371.3209355705162</v>
      </c>
      <c r="AK159" s="11">
        <f>IF(Components!AL159&gt;0,PPMT(EarningsRate,1,Components!$K159,0,-Components!AL159*((1+InflationRate)^Components!$K159),0),AJ159)</f>
        <v>1371.3209355705162</v>
      </c>
      <c r="AL159" s="11">
        <f>IF(Components!AM159&gt;0,PPMT(EarningsRate,1,Components!$K159,0,-Components!AM159*((1+InflationRate)^Components!$K159),0),AK159)</f>
        <v>1371.3209355705162</v>
      </c>
      <c r="AM159" s="11">
        <f>IF(Components!AN159&gt;0,PPMT(EarningsRate,1,Components!$K159,0,-Components!AN159*((1+InflationRate)^Components!$K159),0),AL159)</f>
        <v>1371.3209355705162</v>
      </c>
      <c r="AN159" s="11">
        <f>IF(Components!AO159&gt;0,PPMT(EarningsRate,1,Components!$K159,0,-Components!AO159*((1+InflationRate)^Components!$K159),0),AM159)</f>
        <v>1371.3209355705162</v>
      </c>
      <c r="AO159" s="11">
        <f>IF(Components!AP159&gt;0,PPMT(EarningsRate,1,Components!$K159,0,-Components!AP159*((1+InflationRate)^Components!$K159),0),AN159)</f>
        <v>1371.3209355705162</v>
      </c>
      <c r="AP159" s="214"/>
      <c r="AQ159" s="11">
        <f t="shared" si="3"/>
        <v>30914.538218006477</v>
      </c>
    </row>
    <row r="160" spans="1:43" s="1" customFormat="1">
      <c r="A160" s="220" t="str">
        <f>Components!B160</f>
        <v>Golf Equip</v>
      </c>
      <c r="B160" s="220" t="str">
        <f>Components!C160</f>
        <v>Sweeper/Thatcher</v>
      </c>
      <c r="C160" s="211"/>
      <c r="D160" s="211"/>
      <c r="E160" s="211"/>
      <c r="F160" s="88"/>
      <c r="G160" s="212"/>
      <c r="H160" s="212"/>
      <c r="I160" s="212"/>
      <c r="J160" s="211"/>
      <c r="K160" s="11">
        <f>IF('FF Balance'!H160&gt;=0,PPMT(EarningsRate,1,Components!K160,0,-'FF Balance'!G160,0),0)</f>
        <v>1065.462808869627</v>
      </c>
      <c r="L160" s="11">
        <f>IF(Components!M160&gt;0,PPMT(EarningsRate,1,Components!$K160,0,-Components!M160*((1+InflationRate)^Components!$K160),0),K160)</f>
        <v>1065.462808869627</v>
      </c>
      <c r="M160" s="11">
        <f>IF(Components!N160&gt;0,PPMT(EarningsRate,1,Components!$K160,0,-Components!N160*((1+InflationRate)^Components!$K160),0),L160)</f>
        <v>1065.462808869627</v>
      </c>
      <c r="N160" s="11">
        <f>IF(Components!O160&gt;0,PPMT(EarningsRate,1,Components!$K160,0,-Components!O160*((1+InflationRate)^Components!$K160),0),M160)</f>
        <v>1065.462808869627</v>
      </c>
      <c r="O160" s="11">
        <f>IF(Components!P160&gt;0,PPMT(EarningsRate,1,Components!$K160,0,-Components!P160*((1+InflationRate)^Components!$K160),0),N160)</f>
        <v>1065.462808869627</v>
      </c>
      <c r="P160" s="11">
        <f>IF(Components!Q160&gt;0,PPMT(EarningsRate,1,Components!$K160,0,-Components!Q160*((1+InflationRate)^Components!$K160),0),O160)</f>
        <v>1065.462808869627</v>
      </c>
      <c r="Q160" s="11">
        <f>IF(Components!R160&gt;0,PPMT(EarningsRate,1,Components!$K160,0,-Components!R160*((1+InflationRate)^Components!$K160),0),P160)</f>
        <v>1065.462808869627</v>
      </c>
      <c r="R160" s="11">
        <f>IF(Components!S160&gt;0,PPMT(EarningsRate,1,Components!$K160,0,-Components!S160*((1+InflationRate)^Components!$K160),0),Q160)</f>
        <v>1065.462808869627</v>
      </c>
      <c r="S160" s="11">
        <f>IF(Components!T160&gt;0,PPMT(EarningsRate,1,Components!$K160,0,-Components!T160*((1+InflationRate)^Components!$K160),0),R160)</f>
        <v>1065.462808869627</v>
      </c>
      <c r="T160" s="11">
        <f>IF(Components!U160&gt;0,PPMT(EarningsRate,1,Components!$K160,0,-Components!U160*((1+InflationRate)^Components!$K160),0),S160)</f>
        <v>1502.9405176793939</v>
      </c>
      <c r="U160" s="11">
        <f>IF(Components!V160&gt;0,PPMT(EarningsRate,1,Components!$K160,0,-Components!V160*((1+InflationRate)^Components!$K160),0),T160)</f>
        <v>1502.9405176793939</v>
      </c>
      <c r="V160" s="11">
        <f>IF(Components!W160&gt;0,PPMT(EarningsRate,1,Components!$K160,0,-Components!W160*((1+InflationRate)^Components!$K160),0),U160)</f>
        <v>1502.9405176793939</v>
      </c>
      <c r="W160" s="11">
        <f>IF(Components!X160&gt;0,PPMT(EarningsRate,1,Components!$K160,0,-Components!X160*((1+InflationRate)^Components!$K160),0),V160)</f>
        <v>1502.9405176793939</v>
      </c>
      <c r="X160" s="11">
        <f>IF(Components!Y160&gt;0,PPMT(EarningsRate,1,Components!$K160,0,-Components!Y160*((1+InflationRate)^Components!$K160),0),W160)</f>
        <v>1502.9405176793939</v>
      </c>
      <c r="Y160" s="11">
        <f>IF(Components!Z160&gt;0,PPMT(EarningsRate,1,Components!$K160,0,-Components!Z160*((1+InflationRate)^Components!$K160),0),X160)</f>
        <v>1502.9405176793939</v>
      </c>
      <c r="Z160" s="11">
        <f>IF(Components!AA160&gt;0,PPMT(EarningsRate,1,Components!$K160,0,-Components!AA160*((1+InflationRate)^Components!$K160),0),Y160)</f>
        <v>1502.9405176793939</v>
      </c>
      <c r="AA160" s="11">
        <f>IF(Components!AB160&gt;0,PPMT(EarningsRate,1,Components!$K160,0,-Components!AB160*((1+InflationRate)^Components!$K160),0),Z160)</f>
        <v>1502.9405176793939</v>
      </c>
      <c r="AB160" s="11">
        <f>IF(Components!AC160&gt;0,PPMT(EarningsRate,1,Components!$K160,0,-Components!AC160*((1+InflationRate)^Components!$K160),0),AA160)</f>
        <v>1502.9405176793939</v>
      </c>
      <c r="AC160" s="11">
        <f>IF(Components!AD160&gt;0,PPMT(EarningsRate,1,Components!$K160,0,-Components!AD160*((1+InflationRate)^Components!$K160),0),AB160)</f>
        <v>1502.9405176793939</v>
      </c>
      <c r="AD160" s="11">
        <f>IF(Components!AE160&gt;0,PPMT(EarningsRate,1,Components!$K160,0,-Components!AE160*((1+InflationRate)^Components!$K160),0),AC160)</f>
        <v>2120.1463804431251</v>
      </c>
      <c r="AE160" s="11">
        <f>IF(Components!AF160&gt;0,PPMT(EarningsRate,1,Components!$K160,0,-Components!AF160*((1+InflationRate)^Components!$K160),0),AD160)</f>
        <v>2120.1463804431251</v>
      </c>
      <c r="AF160" s="11">
        <f>IF(Components!AG160&gt;0,PPMT(EarningsRate,1,Components!$K160,0,-Components!AG160*((1+InflationRate)^Components!$K160),0),AE160)</f>
        <v>2120.1463804431251</v>
      </c>
      <c r="AG160" s="11">
        <f>IF(Components!AH160&gt;0,PPMT(EarningsRate,1,Components!$K160,0,-Components!AH160*((1+InflationRate)^Components!$K160),0),AF160)</f>
        <v>2120.1463804431251</v>
      </c>
      <c r="AH160" s="11">
        <f>IF(Components!AI160&gt;0,PPMT(EarningsRate,1,Components!$K160,0,-Components!AI160*((1+InflationRate)^Components!$K160),0),AG160)</f>
        <v>2120.1463804431251</v>
      </c>
      <c r="AI160" s="11">
        <f>IF(Components!AJ160&gt;0,PPMT(EarningsRate,1,Components!$K160,0,-Components!AJ160*((1+InflationRate)^Components!$K160),0),AH160)</f>
        <v>2120.1463804431251</v>
      </c>
      <c r="AJ160" s="11">
        <f>IF(Components!AK160&gt;0,PPMT(EarningsRate,1,Components!$K160,0,-Components!AK160*((1+InflationRate)^Components!$K160),0),AI160)</f>
        <v>2120.1463804431251</v>
      </c>
      <c r="AK160" s="11">
        <f>IF(Components!AL160&gt;0,PPMT(EarningsRate,1,Components!$K160,0,-Components!AL160*((1+InflationRate)^Components!$K160),0),AJ160)</f>
        <v>2120.1463804431251</v>
      </c>
      <c r="AL160" s="11">
        <f>IF(Components!AM160&gt;0,PPMT(EarningsRate,1,Components!$K160,0,-Components!AM160*((1+InflationRate)^Components!$K160),0),AK160)</f>
        <v>2120.1463804431251</v>
      </c>
      <c r="AM160" s="11">
        <f>IF(Components!AN160&gt;0,PPMT(EarningsRate,1,Components!$K160,0,-Components!AN160*((1+InflationRate)^Components!$K160),0),AL160)</f>
        <v>2120.1463804431251</v>
      </c>
      <c r="AN160" s="11">
        <f>IF(Components!AO160&gt;0,PPMT(EarningsRate,1,Components!$K160,0,-Components!AO160*((1+InflationRate)^Components!$K160),0),AM160)</f>
        <v>2990.6208031400301</v>
      </c>
      <c r="AO160" s="11">
        <f>IF(Components!AP160&gt;0,PPMT(EarningsRate,1,Components!$K160,0,-Components!AP160*((1+InflationRate)^Components!$K160),0),AN160)</f>
        <v>2990.6208031400301</v>
      </c>
      <c r="AP160" s="214"/>
      <c r="AQ160" s="11">
        <f t="shared" si="3"/>
        <v>51801.275967331901</v>
      </c>
    </row>
    <row r="161" spans="1:43" s="1" customFormat="1">
      <c r="A161" s="220" t="str">
        <f>Components!B161</f>
        <v>Golf Equip</v>
      </c>
      <c r="B161" s="220" t="str">
        <f>Components!C161</f>
        <v>Tractor w/forklift &amp; backhoe</v>
      </c>
      <c r="C161" s="211"/>
      <c r="D161" s="211"/>
      <c r="E161" s="211"/>
      <c r="F161" s="88"/>
      <c r="G161" s="212"/>
      <c r="H161" s="212"/>
      <c r="I161" s="212"/>
      <c r="J161" s="211"/>
      <c r="K161" s="11">
        <f>IF('FF Balance'!H161&gt;=0,PPMT(EarningsRate,1,Components!K161,0,-'FF Balance'!G161,0),0)</f>
        <v>1185.9620081140429</v>
      </c>
      <c r="L161" s="11">
        <f>IF(Components!M161&gt;0,PPMT(EarningsRate,1,Components!$K161,0,-Components!M161*((1+InflationRate)^Components!$K161),0),K161)</f>
        <v>1185.9620081140429</v>
      </c>
      <c r="M161" s="11">
        <f>IF(Components!N161&gt;0,PPMT(EarningsRate,1,Components!$K161,0,-Components!N161*((1+InflationRate)^Components!$K161),0),L161)</f>
        <v>1185.9620081140429</v>
      </c>
      <c r="N161" s="11">
        <f>IF(Components!O161&gt;0,PPMT(EarningsRate,1,Components!$K161,0,-Components!O161*((1+InflationRate)^Components!$K161),0),M161)</f>
        <v>3328.7506983909821</v>
      </c>
      <c r="O161" s="11">
        <f>IF(Components!P161&gt;0,PPMT(EarningsRate,1,Components!$K161,0,-Components!P161*((1+InflationRate)^Components!$K161),0),N161)</f>
        <v>3328.7506983909821</v>
      </c>
      <c r="P161" s="11">
        <f>IF(Components!Q161&gt;0,PPMT(EarningsRate,1,Components!$K161,0,-Components!Q161*((1+InflationRate)^Components!$K161),0),O161)</f>
        <v>3328.7506983909821</v>
      </c>
      <c r="Q161" s="11">
        <f>IF(Components!R161&gt;0,PPMT(EarningsRate,1,Components!$K161,0,-Components!R161*((1+InflationRate)^Components!$K161),0),P161)</f>
        <v>3328.7506983909821</v>
      </c>
      <c r="R161" s="11">
        <f>IF(Components!S161&gt;0,PPMT(EarningsRate,1,Components!$K161,0,-Components!S161*((1+InflationRate)^Components!$K161),0),Q161)</f>
        <v>3328.7506983909821</v>
      </c>
      <c r="S161" s="11">
        <f>IF(Components!T161&gt;0,PPMT(EarningsRate,1,Components!$K161,0,-Components!T161*((1+InflationRate)^Components!$K161),0),R161)</f>
        <v>3328.7506983909821</v>
      </c>
      <c r="T161" s="11">
        <f>IF(Components!U161&gt;0,PPMT(EarningsRate,1,Components!$K161,0,-Components!U161*((1+InflationRate)^Components!$K161),0),S161)</f>
        <v>3328.7506983909821</v>
      </c>
      <c r="U161" s="11">
        <f>IF(Components!V161&gt;0,PPMT(EarningsRate,1,Components!$K161,0,-Components!V161*((1+InflationRate)^Components!$K161),0),T161)</f>
        <v>3328.7506983909821</v>
      </c>
      <c r="V161" s="11">
        <f>IF(Components!W161&gt;0,PPMT(EarningsRate,1,Components!$K161,0,-Components!W161*((1+InflationRate)^Components!$K161),0),U161)</f>
        <v>3328.7506983909821</v>
      </c>
      <c r="W161" s="11">
        <f>IF(Components!X161&gt;0,PPMT(EarningsRate,1,Components!$K161,0,-Components!X161*((1+InflationRate)^Components!$K161),0),V161)</f>
        <v>3328.7506983909821</v>
      </c>
      <c r="X161" s="11">
        <f>IF(Components!Y161&gt;0,PPMT(EarningsRate,1,Components!$K161,0,-Components!Y161*((1+InflationRate)^Components!$K161),0),W161)</f>
        <v>3328.7506983909821</v>
      </c>
      <c r="Y161" s="11">
        <f>IF(Components!Z161&gt;0,PPMT(EarningsRate,1,Components!$K161,0,-Components!Z161*((1+InflationRate)^Components!$K161),0),X161)</f>
        <v>3328.7506983909821</v>
      </c>
      <c r="Z161" s="11">
        <f>IF(Components!AA161&gt;0,PPMT(EarningsRate,1,Components!$K161,0,-Components!AA161*((1+InflationRate)^Components!$K161),0),Y161)</f>
        <v>3328.7506983909821</v>
      </c>
      <c r="AA161" s="11">
        <f>IF(Components!AB161&gt;0,PPMT(EarningsRate,1,Components!$K161,0,-Components!AB161*((1+InflationRate)^Components!$K161),0),Z161)</f>
        <v>3328.7506983909821</v>
      </c>
      <c r="AB161" s="11">
        <f>IF(Components!AC161&gt;0,PPMT(EarningsRate,1,Components!$K161,0,-Components!AC161*((1+InflationRate)^Components!$K161),0),AA161)</f>
        <v>3328.7506983909821</v>
      </c>
      <c r="AC161" s="11">
        <f>IF(Components!AD161&gt;0,PPMT(EarningsRate,1,Components!$K161,0,-Components!AD161*((1+InflationRate)^Components!$K161),0),AB161)</f>
        <v>3328.7506983909821</v>
      </c>
      <c r="AD161" s="11">
        <f>IF(Components!AE161&gt;0,PPMT(EarningsRate,1,Components!$K161,0,-Components!AE161*((1+InflationRate)^Components!$K161),0),AC161)</f>
        <v>3328.7506983909821</v>
      </c>
      <c r="AE161" s="11">
        <f>IF(Components!AF161&gt;0,PPMT(EarningsRate,1,Components!$K161,0,-Components!AF161*((1+InflationRate)^Components!$K161),0),AD161)</f>
        <v>3328.7506983909821</v>
      </c>
      <c r="AF161" s="11">
        <f>IF(Components!AG161&gt;0,PPMT(EarningsRate,1,Components!$K161,0,-Components!AG161*((1+InflationRate)^Components!$K161),0),AE161)</f>
        <v>3328.7506983909821</v>
      </c>
      <c r="AG161" s="11">
        <f>IF(Components!AH161&gt;0,PPMT(EarningsRate,1,Components!$K161,0,-Components!AH161*((1+InflationRate)^Components!$K161),0),AF161)</f>
        <v>3328.7506983909821</v>
      </c>
      <c r="AH161" s="11">
        <f>IF(Components!AI161&gt;0,PPMT(EarningsRate,1,Components!$K161,0,-Components!AI161*((1+InflationRate)^Components!$K161),0),AG161)</f>
        <v>3328.7506983909821</v>
      </c>
      <c r="AI161" s="11">
        <f>IF(Components!AJ161&gt;0,PPMT(EarningsRate,1,Components!$K161,0,-Components!AJ161*((1+InflationRate)^Components!$K161),0),AH161)</f>
        <v>3328.7506983909821</v>
      </c>
      <c r="AJ161" s="11">
        <f>IF(Components!AK161&gt;0,PPMT(EarningsRate,1,Components!$K161,0,-Components!AK161*((1+InflationRate)^Components!$K161),0),AI161)</f>
        <v>3328.7506983909821</v>
      </c>
      <c r="AK161" s="11">
        <f>IF(Components!AL161&gt;0,PPMT(EarningsRate,1,Components!$K161,0,-Components!AL161*((1+InflationRate)^Components!$K161),0),AJ161)</f>
        <v>3328.7506983909821</v>
      </c>
      <c r="AL161" s="11">
        <f>IF(Components!AM161&gt;0,PPMT(EarningsRate,1,Components!$K161,0,-Components!AM161*((1+InflationRate)^Components!$K161),0),AK161)</f>
        <v>3328.7506983909821</v>
      </c>
      <c r="AM161" s="11">
        <f>IF(Components!AN161&gt;0,PPMT(EarningsRate,1,Components!$K161,0,-Components!AN161*((1+InflationRate)^Components!$K161),0),AL161)</f>
        <v>3328.7506983909821</v>
      </c>
      <c r="AN161" s="11">
        <f>IF(Components!AO161&gt;0,PPMT(EarningsRate,1,Components!$K161,0,-Components!AO161*((1+InflationRate)^Components!$K161),0),AM161)</f>
        <v>3328.7506983909821</v>
      </c>
      <c r="AO161" s="11">
        <f>IF(Components!AP161&gt;0,PPMT(EarningsRate,1,Components!$K161,0,-Components!AP161*((1+InflationRate)^Components!$K161),0),AN161)</f>
        <v>3328.7506983909821</v>
      </c>
      <c r="AP161" s="214"/>
      <c r="AQ161" s="11">
        <f t="shared" si="3"/>
        <v>96762.905679289659</v>
      </c>
    </row>
    <row r="162" spans="1:43" s="1" customFormat="1">
      <c r="A162" s="220" t="str">
        <f>Components!B162</f>
        <v>Golf Equip</v>
      </c>
      <c r="B162" s="220" t="str">
        <f>Components!C162</f>
        <v>Ventrac Multi Use with attachments</v>
      </c>
      <c r="C162" s="211"/>
      <c r="D162" s="211"/>
      <c r="E162" s="211"/>
      <c r="F162" s="88"/>
      <c r="G162" s="212"/>
      <c r="H162" s="212"/>
      <c r="I162" s="212"/>
      <c r="J162" s="211"/>
      <c r="K162" s="11">
        <f>IF('FF Balance'!H162&gt;=0,PPMT(EarningsRate,1,Components!K162,0,-'FF Balance'!G162,0),0)</f>
        <v>6152.8659016301381</v>
      </c>
      <c r="L162" s="11">
        <f>IF(Components!M162&gt;0,PPMT(EarningsRate,1,Components!$K162,0,-Components!M162*((1+InflationRate)^Components!$K162),0),K162)</f>
        <v>6152.8659016301381</v>
      </c>
      <c r="M162" s="11">
        <f>IF(Components!N162&gt;0,PPMT(EarningsRate,1,Components!$K162,0,-Components!N162*((1+InflationRate)^Components!$K162),0),L162)</f>
        <v>6152.8659016301381</v>
      </c>
      <c r="N162" s="11">
        <f>IF(Components!O162&gt;0,PPMT(EarningsRate,1,Components!$K162,0,-Components!O162*((1+InflationRate)^Components!$K162),0),M162)</f>
        <v>6152.8659016301381</v>
      </c>
      <c r="O162" s="11">
        <f>IF(Components!P162&gt;0,PPMT(EarningsRate,1,Components!$K162,0,-Components!P162*((1+InflationRate)^Components!$K162),0),N162)</f>
        <v>6152.8659016301381</v>
      </c>
      <c r="P162" s="11">
        <f>IF(Components!Q162&gt;0,PPMT(EarningsRate,1,Components!$K162,0,-Components!Q162*((1+InflationRate)^Components!$K162),0),O162)</f>
        <v>6152.8659016301381</v>
      </c>
      <c r="Q162" s="11">
        <f>IF(Components!R162&gt;0,PPMT(EarningsRate,1,Components!$K162,0,-Components!R162*((1+InflationRate)^Components!$K162),0),P162)</f>
        <v>6152.8659016301381</v>
      </c>
      <c r="R162" s="11">
        <f>IF(Components!S162&gt;0,PPMT(EarningsRate,1,Components!$K162,0,-Components!S162*((1+InflationRate)^Components!$K162),0),Q162)</f>
        <v>6152.8659016301381</v>
      </c>
      <c r="S162" s="11">
        <f>IF(Components!T162&gt;0,PPMT(EarningsRate,1,Components!$K162,0,-Components!T162*((1+InflationRate)^Components!$K162),0),R162)</f>
        <v>6152.8659016301381</v>
      </c>
      <c r="T162" s="11">
        <f>IF(Components!U162&gt;0,PPMT(EarningsRate,1,Components!$K162,0,-Components!U162*((1+InflationRate)^Components!$K162),0),S162)</f>
        <v>8679.2250151074277</v>
      </c>
      <c r="U162" s="11">
        <f>IF(Components!V162&gt;0,PPMT(EarningsRate,1,Components!$K162,0,-Components!V162*((1+InflationRate)^Components!$K162),0),T162)</f>
        <v>8679.2250151074277</v>
      </c>
      <c r="V162" s="11">
        <f>IF(Components!W162&gt;0,PPMT(EarningsRate,1,Components!$K162,0,-Components!W162*((1+InflationRate)^Components!$K162),0),U162)</f>
        <v>8679.2250151074277</v>
      </c>
      <c r="W162" s="11">
        <f>IF(Components!X162&gt;0,PPMT(EarningsRate,1,Components!$K162,0,-Components!X162*((1+InflationRate)^Components!$K162),0),V162)</f>
        <v>8679.2250151074277</v>
      </c>
      <c r="X162" s="11">
        <f>IF(Components!Y162&gt;0,PPMT(EarningsRate,1,Components!$K162,0,-Components!Y162*((1+InflationRate)^Components!$K162),0),W162)</f>
        <v>8679.2250151074277</v>
      </c>
      <c r="Y162" s="11">
        <f>IF(Components!Z162&gt;0,PPMT(EarningsRate,1,Components!$K162,0,-Components!Z162*((1+InflationRate)^Components!$K162),0),X162)</f>
        <v>8679.2250151074277</v>
      </c>
      <c r="Z162" s="11">
        <f>IF(Components!AA162&gt;0,PPMT(EarningsRate,1,Components!$K162,0,-Components!AA162*((1+InflationRate)^Components!$K162),0),Y162)</f>
        <v>8679.2250151074277</v>
      </c>
      <c r="AA162" s="11">
        <f>IF(Components!AB162&gt;0,PPMT(EarningsRate,1,Components!$K162,0,-Components!AB162*((1+InflationRate)^Components!$K162),0),Z162)</f>
        <v>8679.2250151074277</v>
      </c>
      <c r="AB162" s="11">
        <f>IF(Components!AC162&gt;0,PPMT(EarningsRate,1,Components!$K162,0,-Components!AC162*((1+InflationRate)^Components!$K162),0),AA162)</f>
        <v>8679.2250151074277</v>
      </c>
      <c r="AC162" s="11">
        <f>IF(Components!AD162&gt;0,PPMT(EarningsRate,1,Components!$K162,0,-Components!AD162*((1+InflationRate)^Components!$K162),0),AB162)</f>
        <v>8679.2250151074277</v>
      </c>
      <c r="AD162" s="11">
        <f>IF(Components!AE162&gt;0,PPMT(EarningsRate,1,Components!$K162,0,-Components!AE162*((1+InflationRate)^Components!$K162),0),AC162)</f>
        <v>12242.809831301342</v>
      </c>
      <c r="AE162" s="11">
        <f>IF(Components!AF162&gt;0,PPMT(EarningsRate,1,Components!$K162,0,-Components!AF162*((1+InflationRate)^Components!$K162),0),AD162)</f>
        <v>12242.809831301342</v>
      </c>
      <c r="AF162" s="11">
        <f>IF(Components!AG162&gt;0,PPMT(EarningsRate,1,Components!$K162,0,-Components!AG162*((1+InflationRate)^Components!$K162),0),AE162)</f>
        <v>12242.809831301342</v>
      </c>
      <c r="AG162" s="11">
        <f>IF(Components!AH162&gt;0,PPMT(EarningsRate,1,Components!$K162,0,-Components!AH162*((1+InflationRate)^Components!$K162),0),AF162)</f>
        <v>12242.809831301342</v>
      </c>
      <c r="AH162" s="11">
        <f>IF(Components!AI162&gt;0,PPMT(EarningsRate,1,Components!$K162,0,-Components!AI162*((1+InflationRate)^Components!$K162),0),AG162)</f>
        <v>12242.809831301342</v>
      </c>
      <c r="AI162" s="11">
        <f>IF(Components!AJ162&gt;0,PPMT(EarningsRate,1,Components!$K162,0,-Components!AJ162*((1+InflationRate)^Components!$K162),0),AH162)</f>
        <v>12242.809831301342</v>
      </c>
      <c r="AJ162" s="11">
        <f>IF(Components!AK162&gt;0,PPMT(EarningsRate,1,Components!$K162,0,-Components!AK162*((1+InflationRate)^Components!$K162),0),AI162)</f>
        <v>12242.809831301342</v>
      </c>
      <c r="AK162" s="11">
        <f>IF(Components!AL162&gt;0,PPMT(EarningsRate,1,Components!$K162,0,-Components!AL162*((1+InflationRate)^Components!$K162),0),AJ162)</f>
        <v>12242.809831301342</v>
      </c>
      <c r="AL162" s="11">
        <f>IF(Components!AM162&gt;0,PPMT(EarningsRate,1,Components!$K162,0,-Components!AM162*((1+InflationRate)^Components!$K162),0),AK162)</f>
        <v>12242.809831301342</v>
      </c>
      <c r="AM162" s="11">
        <f>IF(Components!AN162&gt;0,PPMT(EarningsRate,1,Components!$K162,0,-Components!AN162*((1+InflationRate)^Components!$K162),0),AL162)</f>
        <v>12242.809831301342</v>
      </c>
      <c r="AN162" s="11">
        <f>IF(Components!AO162&gt;0,PPMT(EarningsRate,1,Components!$K162,0,-Components!AO162*((1+InflationRate)^Components!$K162),0),AM162)</f>
        <v>17269.709856304096</v>
      </c>
      <c r="AO162" s="11">
        <f>IF(Components!AP162&gt;0,PPMT(EarningsRate,1,Components!$K162,0,-Components!AP162*((1+InflationRate)^Components!$K162),0),AN162)</f>
        <v>17269.709856304096</v>
      </c>
      <c r="AP162" s="214"/>
      <c r="AQ162" s="11">
        <f t="shared" si="3"/>
        <v>299135.56139136705</v>
      </c>
    </row>
    <row r="163" spans="1:43" s="1" customFormat="1">
      <c r="A163" s="220" t="str">
        <f>Components!B163</f>
        <v>Golf Equip</v>
      </c>
      <c r="B163" s="220" t="str">
        <f>Components!C163</f>
        <v>Verticutt reels</v>
      </c>
      <c r="C163" s="211"/>
      <c r="D163" s="211"/>
      <c r="E163" s="211"/>
      <c r="F163" s="88"/>
      <c r="G163" s="212"/>
      <c r="H163" s="212"/>
      <c r="I163" s="212"/>
      <c r="J163" s="211"/>
      <c r="K163" s="11">
        <f>IF('FF Balance'!H163&gt;=0,PPMT(EarningsRate,1,Components!K163,0,-'FF Balance'!G163,0),0)</f>
        <v>1117.9022825041623</v>
      </c>
      <c r="L163" s="11">
        <f>IF(Components!M163&gt;0,PPMT(EarningsRate,1,Components!$K163,0,-Components!M163*((1+InflationRate)^Components!$K163),0),K163)</f>
        <v>1117.9022825041623</v>
      </c>
      <c r="M163" s="11">
        <f>IF(Components!N163&gt;0,PPMT(EarningsRate,1,Components!$K163,0,-Components!N163*((1+InflationRate)^Components!$K163),0),L163)</f>
        <v>1117.9022825041623</v>
      </c>
      <c r="N163" s="11">
        <f>IF(Components!O163&gt;0,PPMT(EarningsRate,1,Components!$K163,0,-Components!O163*((1+InflationRate)^Components!$K163),0),M163)</f>
        <v>1117.9022825041623</v>
      </c>
      <c r="O163" s="11">
        <f>IF(Components!P163&gt;0,PPMT(EarningsRate,1,Components!$K163,0,-Components!P163*((1+InflationRate)^Components!$K163),0),N163)</f>
        <v>1117.9022825041623</v>
      </c>
      <c r="P163" s="11">
        <f>IF(Components!Q163&gt;0,PPMT(EarningsRate,1,Components!$K163,0,-Components!Q163*((1+InflationRate)^Components!$K163),0),O163)</f>
        <v>1117.9022825041623</v>
      </c>
      <c r="Q163" s="11">
        <f>IF(Components!R163&gt;0,PPMT(EarningsRate,1,Components!$K163,0,-Components!R163*((1+InflationRate)^Components!$K163),0),P163)</f>
        <v>1117.9022825041623</v>
      </c>
      <c r="R163" s="11">
        <f>IF(Components!S163&gt;0,PPMT(EarningsRate,1,Components!$K163,0,-Components!S163*((1+InflationRate)^Components!$K163),0),Q163)</f>
        <v>1117.9022825041623</v>
      </c>
      <c r="S163" s="11">
        <f>IF(Components!T163&gt;0,PPMT(EarningsRate,1,Components!$K163,0,-Components!T163*((1+InflationRate)^Components!$K163),0),R163)</f>
        <v>1117.9022825041623</v>
      </c>
      <c r="T163" s="11">
        <f>IF(Components!U163&gt;0,PPMT(EarningsRate,1,Components!$K163,0,-Components!U163*((1+InflationRate)^Components!$K163),0),S163)</f>
        <v>1117.9022825041623</v>
      </c>
      <c r="U163" s="11">
        <f>IF(Components!V163&gt;0,PPMT(EarningsRate,1,Components!$K163,0,-Components!V163*((1+InflationRate)^Components!$K163),0),T163)</f>
        <v>1117.9022825041623</v>
      </c>
      <c r="V163" s="11">
        <f>IF(Components!W163&gt;0,PPMT(EarningsRate,1,Components!$K163,0,-Components!W163*((1+InflationRate)^Components!$K163),0),U163)</f>
        <v>1689.227101067996</v>
      </c>
      <c r="W163" s="11">
        <f>IF(Components!X163&gt;0,PPMT(EarningsRate,1,Components!$K163,0,-Components!X163*((1+InflationRate)^Components!$K163),0),V163)</f>
        <v>1689.227101067996</v>
      </c>
      <c r="X163" s="11">
        <f>IF(Components!Y163&gt;0,PPMT(EarningsRate,1,Components!$K163,0,-Components!Y163*((1+InflationRate)^Components!$K163),0),W163)</f>
        <v>1689.227101067996</v>
      </c>
      <c r="Y163" s="11">
        <f>IF(Components!Z163&gt;0,PPMT(EarningsRate,1,Components!$K163,0,-Components!Z163*((1+InflationRate)^Components!$K163),0),X163)</f>
        <v>1689.227101067996</v>
      </c>
      <c r="Z163" s="11">
        <f>IF(Components!AA163&gt;0,PPMT(EarningsRate,1,Components!$K163,0,-Components!AA163*((1+InflationRate)^Components!$K163),0),Y163)</f>
        <v>1689.227101067996</v>
      </c>
      <c r="AA163" s="11">
        <f>IF(Components!AB163&gt;0,PPMT(EarningsRate,1,Components!$K163,0,-Components!AB163*((1+InflationRate)^Components!$K163),0),Z163)</f>
        <v>1689.227101067996</v>
      </c>
      <c r="AB163" s="11">
        <f>IF(Components!AC163&gt;0,PPMT(EarningsRate,1,Components!$K163,0,-Components!AC163*((1+InflationRate)^Components!$K163),0),AA163)</f>
        <v>1689.227101067996</v>
      </c>
      <c r="AC163" s="11">
        <f>IF(Components!AD163&gt;0,PPMT(EarningsRate,1,Components!$K163,0,-Components!AD163*((1+InflationRate)^Components!$K163),0),AB163)</f>
        <v>1689.227101067996</v>
      </c>
      <c r="AD163" s="11">
        <f>IF(Components!AE163&gt;0,PPMT(EarningsRate,1,Components!$K163,0,-Components!AE163*((1+InflationRate)^Components!$K163),0),AC163)</f>
        <v>1689.227101067996</v>
      </c>
      <c r="AE163" s="11">
        <f>IF(Components!AF163&gt;0,PPMT(EarningsRate,1,Components!$K163,0,-Components!AF163*((1+InflationRate)^Components!$K163),0),AD163)</f>
        <v>1689.227101067996</v>
      </c>
      <c r="AF163" s="11">
        <f>IF(Components!AG163&gt;0,PPMT(EarningsRate,1,Components!$K163,0,-Components!AG163*((1+InflationRate)^Components!$K163),0),AE163)</f>
        <v>1689.227101067996</v>
      </c>
      <c r="AG163" s="11">
        <f>IF(Components!AH163&gt;0,PPMT(EarningsRate,1,Components!$K163,0,-Components!AH163*((1+InflationRate)^Components!$K163),0),AF163)</f>
        <v>1689.227101067996</v>
      </c>
      <c r="AH163" s="11">
        <f>IF(Components!AI163&gt;0,PPMT(EarningsRate,1,Components!$K163,0,-Components!AI163*((1+InflationRate)^Components!$K163),0),AG163)</f>
        <v>2552.5500909094853</v>
      </c>
      <c r="AI163" s="11">
        <f>IF(Components!AJ163&gt;0,PPMT(EarningsRate,1,Components!$K163,0,-Components!AJ163*((1+InflationRate)^Components!$K163),0),AH163)</f>
        <v>2552.5500909094853</v>
      </c>
      <c r="AJ163" s="11">
        <f>IF(Components!AK163&gt;0,PPMT(EarningsRate,1,Components!$K163,0,-Components!AK163*((1+InflationRate)^Components!$K163),0),AI163)</f>
        <v>2552.5500909094853</v>
      </c>
      <c r="AK163" s="11">
        <f>IF(Components!AL163&gt;0,PPMT(EarningsRate,1,Components!$K163,0,-Components!AL163*((1+InflationRate)^Components!$K163),0),AJ163)</f>
        <v>2552.5500909094853</v>
      </c>
      <c r="AL163" s="11">
        <f>IF(Components!AM163&gt;0,PPMT(EarningsRate,1,Components!$K163,0,-Components!AM163*((1+InflationRate)^Components!$K163),0),AK163)</f>
        <v>2552.5500909094853</v>
      </c>
      <c r="AM163" s="11">
        <f>IF(Components!AN163&gt;0,PPMT(EarningsRate,1,Components!$K163,0,-Components!AN163*((1+InflationRate)^Components!$K163),0),AL163)</f>
        <v>2552.5500909094853</v>
      </c>
      <c r="AN163" s="11">
        <f>IF(Components!AO163&gt;0,PPMT(EarningsRate,1,Components!$K163,0,-Components!AO163*((1+InflationRate)^Components!$K163),0),AM163)</f>
        <v>2552.5500909094853</v>
      </c>
      <c r="AO163" s="11">
        <f>IF(Components!AP163&gt;0,PPMT(EarningsRate,1,Components!$K163,0,-Components!AP163*((1+InflationRate)^Components!$K163),0),AN163)</f>
        <v>2552.5500909094853</v>
      </c>
      <c r="AP163" s="214"/>
      <c r="AQ163" s="11">
        <f t="shared" si="3"/>
        <v>52988.051147637627</v>
      </c>
    </row>
    <row r="164" spans="1:43" s="1" customFormat="1">
      <c r="A164" s="220" t="str">
        <f>Components!B164</f>
        <v>Golf Equip</v>
      </c>
      <c r="B164" s="220" t="str">
        <f>Components!C164</f>
        <v>Weather Station</v>
      </c>
      <c r="C164" s="211"/>
      <c r="D164" s="211"/>
      <c r="E164" s="211"/>
      <c r="F164" s="88"/>
      <c r="G164" s="212"/>
      <c r="H164" s="212"/>
      <c r="I164" s="212"/>
      <c r="J164" s="211"/>
      <c r="K164" s="11">
        <f>IF('FF Balance'!H164&gt;=0,PPMT(EarningsRate,1,Components!K164,0,-'FF Balance'!G164,0),0)</f>
        <v>577.42068477042369</v>
      </c>
      <c r="L164" s="11">
        <f>IF(Components!M164&gt;0,PPMT(EarningsRate,1,Components!$K164,0,-Components!M164*((1+InflationRate)^Components!$K164),0),K164)</f>
        <v>577.42068477042369</v>
      </c>
      <c r="M164" s="11">
        <f>IF(Components!N164&gt;0,PPMT(EarningsRate,1,Components!$K164,0,-Components!N164*((1+InflationRate)^Components!$K164),0),L164)</f>
        <v>577.42068477042369</v>
      </c>
      <c r="N164" s="11">
        <f>IF(Components!O164&gt;0,PPMT(EarningsRate,1,Components!$K164,0,-Components!O164*((1+InflationRate)^Components!$K164),0),M164)</f>
        <v>577.42068477042369</v>
      </c>
      <c r="O164" s="11">
        <f>IF(Components!P164&gt;0,PPMT(EarningsRate,1,Components!$K164,0,-Components!P164*((1+InflationRate)^Components!$K164),0),N164)</f>
        <v>577.42068477042369</v>
      </c>
      <c r="P164" s="11">
        <f>IF(Components!Q164&gt;0,PPMT(EarningsRate,1,Components!$K164,0,-Components!Q164*((1+InflationRate)^Components!$K164),0),O164)</f>
        <v>577.42068477042369</v>
      </c>
      <c r="Q164" s="11">
        <f>IF(Components!R164&gt;0,PPMT(EarningsRate,1,Components!$K164,0,-Components!R164*((1+InflationRate)^Components!$K164),0),P164)</f>
        <v>577.42068477042369</v>
      </c>
      <c r="R164" s="11">
        <f>IF(Components!S164&gt;0,PPMT(EarningsRate,1,Components!$K164,0,-Components!S164*((1+InflationRate)^Components!$K164),0),Q164)</f>
        <v>577.42068477042369</v>
      </c>
      <c r="S164" s="11">
        <f>IF(Components!T164&gt;0,PPMT(EarningsRate,1,Components!$K164,0,-Components!T164*((1+InflationRate)^Components!$K164),0),R164)</f>
        <v>577.42068477042369</v>
      </c>
      <c r="T164" s="11">
        <f>IF(Components!U164&gt;0,PPMT(EarningsRate,1,Components!$K164,0,-Components!U164*((1+InflationRate)^Components!$K164),0),S164)</f>
        <v>577.42068477042369</v>
      </c>
      <c r="U164" s="11">
        <f>IF(Components!V164&gt;0,PPMT(EarningsRate,1,Components!$K164,0,-Components!V164*((1+InflationRate)^Components!$K164),0),T164)</f>
        <v>577.42068477042369</v>
      </c>
      <c r="V164" s="11">
        <f>IF(Components!W164&gt;0,PPMT(EarningsRate,1,Components!$K164,0,-Components!W164*((1+InflationRate)^Components!$K164),0),U164)</f>
        <v>577.42068477042369</v>
      </c>
      <c r="W164" s="11">
        <f>IF(Components!X164&gt;0,PPMT(EarningsRate,1,Components!$K164,0,-Components!X164*((1+InflationRate)^Components!$K164),0),V164)</f>
        <v>577.42068477042369</v>
      </c>
      <c r="X164" s="11">
        <f>IF(Components!Y164&gt;0,PPMT(EarningsRate,1,Components!$K164,0,-Components!Y164*((1+InflationRate)^Components!$K164),0),W164)</f>
        <v>577.42068477042369</v>
      </c>
      <c r="Y164" s="11">
        <f>IF(Components!Z164&gt;0,PPMT(EarningsRate,1,Components!$K164,0,-Components!Z164*((1+InflationRate)^Components!$K164),0),X164)</f>
        <v>577.42068477042369</v>
      </c>
      <c r="Z164" s="11">
        <f>IF(Components!AA164&gt;0,PPMT(EarningsRate,1,Components!$K164,0,-Components!AA164*((1+InflationRate)^Components!$K164),0),Y164)</f>
        <v>577.42068477042369</v>
      </c>
      <c r="AA164" s="11">
        <f>IF(Components!AB164&gt;0,PPMT(EarningsRate,1,Components!$K164,0,-Components!AB164*((1+InflationRate)^Components!$K164),0),Z164)</f>
        <v>577.42068477042369</v>
      </c>
      <c r="AB164" s="11">
        <f>IF(Components!AC164&gt;0,PPMT(EarningsRate,1,Components!$K164,0,-Components!AC164*((1+InflationRate)^Components!$K164),0),AA164)</f>
        <v>577.42068477042369</v>
      </c>
      <c r="AC164" s="11">
        <f>IF(Components!AD164&gt;0,PPMT(EarningsRate,1,Components!$K164,0,-Components!AD164*((1+InflationRate)^Components!$K164),0),AB164)</f>
        <v>577.42068477042369</v>
      </c>
      <c r="AD164" s="11">
        <f>IF(Components!AE164&gt;0,PPMT(EarningsRate,1,Components!$K164,0,-Components!AE164*((1+InflationRate)^Components!$K164),0),AC164)</f>
        <v>577.42068477042369</v>
      </c>
      <c r="AE164" s="11">
        <f>IF(Components!AF164&gt;0,PPMT(EarningsRate,1,Components!$K164,0,-Components!AF164*((1+InflationRate)^Components!$K164),0),AD164)</f>
        <v>577.42068477042369</v>
      </c>
      <c r="AF164" s="11">
        <f>IF(Components!AG164&gt;0,PPMT(EarningsRate,1,Components!$K164,0,-Components!AG164*((1+InflationRate)^Components!$K164),0),AE164)</f>
        <v>577.42068477042369</v>
      </c>
      <c r="AG164" s="11">
        <f>IF(Components!AH164&gt;0,PPMT(EarningsRate,1,Components!$K164,0,-Components!AH164*((1+InflationRate)^Components!$K164),0),AF164)</f>
        <v>577.42068477042369</v>
      </c>
      <c r="AH164" s="11">
        <f>IF(Components!AI164&gt;0,PPMT(EarningsRate,1,Components!$K164,0,-Components!AI164*((1+InflationRate)^Components!$K164),0),AG164)</f>
        <v>577.42068477042369</v>
      </c>
      <c r="AI164" s="11">
        <f>IF(Components!AJ164&gt;0,PPMT(EarningsRate,1,Components!$K164,0,-Components!AJ164*((1+InflationRate)^Components!$K164),0),AH164)</f>
        <v>577.42068477042369</v>
      </c>
      <c r="AJ164" s="11">
        <f>IF(Components!AK164&gt;0,PPMT(EarningsRate,1,Components!$K164,0,-Components!AK164*((1+InflationRate)^Components!$K164),0),AI164)</f>
        <v>1364.5865370957431</v>
      </c>
      <c r="AK164" s="11">
        <f>IF(Components!AL164&gt;0,PPMT(EarningsRate,1,Components!$K164,0,-Components!AL164*((1+InflationRate)^Components!$K164),0),AJ164)</f>
        <v>1364.5865370957431</v>
      </c>
      <c r="AL164" s="11">
        <f>IF(Components!AM164&gt;0,PPMT(EarningsRate,1,Components!$K164,0,-Components!AM164*((1+InflationRate)^Components!$K164),0),AK164)</f>
        <v>1364.5865370957431</v>
      </c>
      <c r="AM164" s="11">
        <f>IF(Components!AN164&gt;0,PPMT(EarningsRate,1,Components!$K164,0,-Components!AN164*((1+InflationRate)^Components!$K164),0),AL164)</f>
        <v>1364.5865370957431</v>
      </c>
      <c r="AN164" s="11">
        <f>IF(Components!AO164&gt;0,PPMT(EarningsRate,1,Components!$K164,0,-Components!AO164*((1+InflationRate)^Components!$K164),0),AM164)</f>
        <v>1364.5865370957431</v>
      </c>
      <c r="AO164" s="11">
        <f>IF(Components!AP164&gt;0,PPMT(EarningsRate,1,Components!$K164,0,-Components!AP164*((1+InflationRate)^Components!$K164),0),AN164)</f>
        <v>1364.5865370957431</v>
      </c>
      <c r="AP164" s="214"/>
      <c r="AQ164" s="11">
        <f t="shared" si="3"/>
        <v>22623.036441835062</v>
      </c>
    </row>
    <row r="165" spans="1:43" s="1" customFormat="1">
      <c r="A165" s="220" t="str">
        <f>Components!B165</f>
        <v>Asphalt R&amp;R</v>
      </c>
      <c r="B165" s="220" t="str">
        <f>Components!C165</f>
        <v>Linvale Place</v>
      </c>
      <c r="C165" s="211"/>
      <c r="D165" s="211"/>
      <c r="E165" s="211"/>
      <c r="F165" s="88"/>
      <c r="G165" s="212"/>
      <c r="H165" s="212"/>
      <c r="I165" s="212"/>
      <c r="J165" s="211"/>
      <c r="K165" s="11">
        <f>IF('FF Balance'!H165&gt;=0,PPMT(EarningsRate,1,Components!K165,0,-'FF Balance'!G165,0),0)</f>
        <v>13555.681886127293</v>
      </c>
      <c r="L165" s="11">
        <f>IF(Components!M165&gt;0,PPMT(EarningsRate,1,Components!$K165,0,-Components!M165*((1+InflationRate)^Components!$K165),0),K165)</f>
        <v>13555.681886127293</v>
      </c>
      <c r="M165" s="11">
        <f>IF(Components!N165&gt;0,PPMT(EarningsRate,1,Components!$K165,0,-Components!N165*((1+InflationRate)^Components!$K165),0),L165)</f>
        <v>13555.681886127293</v>
      </c>
      <c r="N165" s="11">
        <f>IF(Components!O165&gt;0,PPMT(EarningsRate,1,Components!$K165,0,-Components!O165*((1+InflationRate)^Components!$K165),0),M165)</f>
        <v>13555.681886127293</v>
      </c>
      <c r="O165" s="11">
        <f>IF(Components!P165&gt;0,PPMT(EarningsRate,1,Components!$K165,0,-Components!P165*((1+InflationRate)^Components!$K165),0),N165)</f>
        <v>13555.681886127293</v>
      </c>
      <c r="P165" s="11">
        <f>IF(Components!Q165&gt;0,PPMT(EarningsRate,1,Components!$K165,0,-Components!Q165*((1+InflationRate)^Components!$K165),0),O165)</f>
        <v>13555.681886127293</v>
      </c>
      <c r="Q165" s="11">
        <f>IF(Components!R165&gt;0,PPMT(EarningsRate,1,Components!$K165,0,-Components!R165*((1+InflationRate)^Components!$K165),0),P165)</f>
        <v>13555.681886127293</v>
      </c>
      <c r="R165" s="11">
        <f>IF(Components!S165&gt;0,PPMT(EarningsRate,1,Components!$K165,0,-Components!S165*((1+InflationRate)^Components!$K165),0),Q165)</f>
        <v>13555.681886127293</v>
      </c>
      <c r="S165" s="11">
        <f>IF(Components!T165&gt;0,PPMT(EarningsRate,1,Components!$K165,0,-Components!T165*((1+InflationRate)^Components!$K165),0),R165)</f>
        <v>13555.681886127293</v>
      </c>
      <c r="T165" s="11">
        <f>IF(Components!U165&gt;0,PPMT(EarningsRate,1,Components!$K165,0,-Components!U165*((1+InflationRate)^Components!$K165),0),S165)</f>
        <v>13555.681886127293</v>
      </c>
      <c r="U165" s="11">
        <f>IF(Components!V165&gt;0,PPMT(EarningsRate,1,Components!$K165,0,-Components!V165*((1+InflationRate)^Components!$K165),0),T165)</f>
        <v>13555.681886127293</v>
      </c>
      <c r="V165" s="11">
        <f>IF(Components!W165&gt;0,PPMT(EarningsRate,1,Components!$K165,0,-Components!W165*((1+InflationRate)^Components!$K165),0),U165)</f>
        <v>13555.681886127293</v>
      </c>
      <c r="W165" s="11">
        <f>IF(Components!X165&gt;0,PPMT(EarningsRate,1,Components!$K165,0,-Components!X165*((1+InflationRate)^Components!$K165),0),V165)</f>
        <v>13555.681886127293</v>
      </c>
      <c r="X165" s="11">
        <f>IF(Components!Y165&gt;0,PPMT(EarningsRate,1,Components!$K165,0,-Components!Y165*((1+InflationRate)^Components!$K165),0),W165)</f>
        <v>13555.681886127293</v>
      </c>
      <c r="Y165" s="11">
        <f>IF(Components!Z165&gt;0,PPMT(EarningsRate,1,Components!$K165,0,-Components!Z165*((1+InflationRate)^Components!$K165),0),X165)</f>
        <v>13555.681886127293</v>
      </c>
      <c r="Z165" s="11">
        <f>IF(Components!AA165&gt;0,PPMT(EarningsRate,1,Components!$K165,0,-Components!AA165*((1+InflationRate)^Components!$K165),0),Y165)</f>
        <v>13555.681886127293</v>
      </c>
      <c r="AA165" s="11">
        <f>IF(Components!AB165&gt;0,PPMT(EarningsRate,1,Components!$K165,0,-Components!AB165*((1+InflationRate)^Components!$K165),0),Z165)</f>
        <v>13555.681886127293</v>
      </c>
      <c r="AB165" s="11">
        <f>IF(Components!AC165&gt;0,PPMT(EarningsRate,1,Components!$K165,0,-Components!AC165*((1+InflationRate)^Components!$K165),0),AA165)</f>
        <v>13555.681886127293</v>
      </c>
      <c r="AC165" s="11">
        <f>IF(Components!AD165&gt;0,PPMT(EarningsRate,1,Components!$K165,0,-Components!AD165*((1+InflationRate)^Components!$K165),0),AB165)</f>
        <v>13555.681886127293</v>
      </c>
      <c r="AD165" s="11">
        <f>IF(Components!AE165&gt;0,PPMT(EarningsRate,1,Components!$K165,0,-Components!AE165*((1+InflationRate)^Components!$K165),0),AC165)</f>
        <v>13555.681886127293</v>
      </c>
      <c r="AE165" s="11">
        <f>IF(Components!AF165&gt;0,PPMT(EarningsRate,1,Components!$K165,0,-Components!AF165*((1+InflationRate)^Components!$K165),0),AD165)</f>
        <v>13555.681886127293</v>
      </c>
      <c r="AF165" s="11">
        <f>IF(Components!AG165&gt;0,PPMT(EarningsRate,1,Components!$K165,0,-Components!AG165*((1+InflationRate)^Components!$K165),0),AE165)</f>
        <v>13555.681886127293</v>
      </c>
      <c r="AG165" s="11">
        <f>IF(Components!AH165&gt;0,PPMT(EarningsRate,1,Components!$K165,0,-Components!AH165*((1+InflationRate)^Components!$K165),0),AF165)</f>
        <v>13555.681886127293</v>
      </c>
      <c r="AH165" s="11">
        <f>IF(Components!AI165&gt;0,PPMT(EarningsRate,1,Components!$K165,0,-Components!AI165*((1+InflationRate)^Components!$K165),0),AG165)</f>
        <v>13555.681886127293</v>
      </c>
      <c r="AI165" s="11">
        <f>IF(Components!AJ165&gt;0,PPMT(EarningsRate,1,Components!$K165,0,-Components!AJ165*((1+InflationRate)^Components!$K165),0),AH165)</f>
        <v>13555.681886127293</v>
      </c>
      <c r="AJ165" s="11">
        <f>IF(Components!AK165&gt;0,PPMT(EarningsRate,1,Components!$K165,0,-Components!AK165*((1+InflationRate)^Components!$K165),0),AI165)</f>
        <v>38048.002580933513</v>
      </c>
      <c r="AK165" s="11">
        <f>IF(Components!AL165&gt;0,PPMT(EarningsRate,1,Components!$K165,0,-Components!AL165*((1+InflationRate)^Components!$K165),0),AJ165)</f>
        <v>38048.002580933513</v>
      </c>
      <c r="AL165" s="11">
        <f>IF(Components!AM165&gt;0,PPMT(EarningsRate,1,Components!$K165,0,-Components!AM165*((1+InflationRate)^Components!$K165),0),AK165)</f>
        <v>38048.002580933513</v>
      </c>
      <c r="AM165" s="11">
        <f>IF(Components!AN165&gt;0,PPMT(EarningsRate,1,Components!$K165,0,-Components!AN165*((1+InflationRate)^Components!$K165),0),AL165)</f>
        <v>38048.002580933513</v>
      </c>
      <c r="AN165" s="11">
        <f>IF(Components!AO165&gt;0,PPMT(EarningsRate,1,Components!$K165,0,-Components!AO165*((1+InflationRate)^Components!$K165),0),AM165)</f>
        <v>38048.002580933513</v>
      </c>
      <c r="AO165" s="11">
        <f>IF(Components!AP165&gt;0,PPMT(EarningsRate,1,Components!$K165,0,-Components!AP165*((1+InflationRate)^Components!$K165),0),AN165)</f>
        <v>38048.002580933513</v>
      </c>
      <c r="AP165" s="214"/>
      <c r="AQ165" s="11">
        <f t="shared" si="3"/>
        <v>567180.06273878342</v>
      </c>
    </row>
    <row r="166" spans="1:43" s="1" customFormat="1">
      <c r="A166" s="220" t="str">
        <f>Components!B166</f>
        <v>Asphalt R&amp;R</v>
      </c>
      <c r="B166" s="220" t="str">
        <f>Components!C166</f>
        <v>Overflow Lot Across/216</v>
      </c>
      <c r="C166" s="211"/>
      <c r="D166" s="211"/>
      <c r="E166" s="211"/>
      <c r="F166" s="88"/>
      <c r="G166" s="212"/>
      <c r="H166" s="212"/>
      <c r="I166" s="212"/>
      <c r="J166" s="211"/>
      <c r="K166" s="11">
        <f>IF('FF Balance'!H166&gt;=0,PPMT(EarningsRate,1,Components!K166,0,-'FF Balance'!G166,0),0)</f>
        <v>3103.913948803538</v>
      </c>
      <c r="L166" s="11">
        <f>IF(Components!M166&gt;0,PPMT(EarningsRate,1,Components!$K166,0,-Components!M166*((1+InflationRate)^Components!$K166),0),K166)</f>
        <v>3103.913948803538</v>
      </c>
      <c r="M166" s="11">
        <f>IF(Components!N166&gt;0,PPMT(EarningsRate,1,Components!$K166,0,-Components!N166*((1+InflationRate)^Components!$K166),0),L166)</f>
        <v>3103.913948803538</v>
      </c>
      <c r="N166" s="11">
        <f>IF(Components!O166&gt;0,PPMT(EarningsRate,1,Components!$K166,0,-Components!O166*((1+InflationRate)^Components!$K166),0),M166)</f>
        <v>3103.913948803538</v>
      </c>
      <c r="O166" s="11">
        <f>IF(Components!P166&gt;0,PPMT(EarningsRate,1,Components!$K166,0,-Components!P166*((1+InflationRate)^Components!$K166),0),N166)</f>
        <v>3103.913948803538</v>
      </c>
      <c r="P166" s="11">
        <f>IF(Components!Q166&gt;0,PPMT(EarningsRate,1,Components!$K166,0,-Components!Q166*((1+InflationRate)^Components!$K166),0),O166)</f>
        <v>3103.913948803538</v>
      </c>
      <c r="Q166" s="11">
        <f>IF(Components!R166&gt;0,PPMT(EarningsRate,1,Components!$K166,0,-Components!R166*((1+InflationRate)^Components!$K166),0),P166)</f>
        <v>3103.913948803538</v>
      </c>
      <c r="R166" s="11">
        <f>IF(Components!S166&gt;0,PPMT(EarningsRate,1,Components!$K166,0,-Components!S166*((1+InflationRate)^Components!$K166),0),Q166)</f>
        <v>3103.913948803538</v>
      </c>
      <c r="S166" s="11">
        <f>IF(Components!T166&gt;0,PPMT(EarningsRate,1,Components!$K166,0,-Components!T166*((1+InflationRate)^Components!$K166),0),R166)</f>
        <v>3103.913948803538</v>
      </c>
      <c r="T166" s="11">
        <f>IF(Components!U166&gt;0,PPMT(EarningsRate,1,Components!$K166,0,-Components!U166*((1+InflationRate)^Components!$K166),0),S166)</f>
        <v>3103.913948803538</v>
      </c>
      <c r="U166" s="11">
        <f>IF(Components!V166&gt;0,PPMT(EarningsRate,1,Components!$K166,0,-Components!V166*((1+InflationRate)^Components!$K166),0),T166)</f>
        <v>3103.913948803538</v>
      </c>
      <c r="V166" s="11">
        <f>IF(Components!W166&gt;0,PPMT(EarningsRate,1,Components!$K166,0,-Components!W166*((1+InflationRate)^Components!$K166),0),U166)</f>
        <v>3103.913948803538</v>
      </c>
      <c r="W166" s="11">
        <f>IF(Components!X166&gt;0,PPMT(EarningsRate,1,Components!$K166,0,-Components!X166*((1+InflationRate)^Components!$K166),0),V166)</f>
        <v>3103.913948803538</v>
      </c>
      <c r="X166" s="11">
        <f>IF(Components!Y166&gt;0,PPMT(EarningsRate,1,Components!$K166,0,-Components!Y166*((1+InflationRate)^Components!$K166),0),W166)</f>
        <v>3103.913948803538</v>
      </c>
      <c r="Y166" s="11">
        <f>IF(Components!Z166&gt;0,PPMT(EarningsRate,1,Components!$K166,0,-Components!Z166*((1+InflationRate)^Components!$K166),0),X166)</f>
        <v>3103.913948803538</v>
      </c>
      <c r="Z166" s="11">
        <f>IF(Components!AA166&gt;0,PPMT(EarningsRate,1,Components!$K166,0,-Components!AA166*((1+InflationRate)^Components!$K166),0),Y166)</f>
        <v>3103.913948803538</v>
      </c>
      <c r="AA166" s="11">
        <f>IF(Components!AB166&gt;0,PPMT(EarningsRate,1,Components!$K166,0,-Components!AB166*((1+InflationRate)^Components!$K166),0),Z166)</f>
        <v>3103.913948803538</v>
      </c>
      <c r="AB166" s="11">
        <f>IF(Components!AC166&gt;0,PPMT(EarningsRate,1,Components!$K166,0,-Components!AC166*((1+InflationRate)^Components!$K166),0),AA166)</f>
        <v>3103.913948803538</v>
      </c>
      <c r="AC166" s="11">
        <f>IF(Components!AD166&gt;0,PPMT(EarningsRate,1,Components!$K166,0,-Components!AD166*((1+InflationRate)^Components!$K166),0),AB166)</f>
        <v>3103.913948803538</v>
      </c>
      <c r="AD166" s="11">
        <f>IF(Components!AE166&gt;0,PPMT(EarningsRate,1,Components!$K166,0,-Components!AE166*((1+InflationRate)^Components!$K166),0),AC166)</f>
        <v>3103.913948803538</v>
      </c>
      <c r="AE166" s="11">
        <f>IF(Components!AF166&gt;0,PPMT(EarningsRate,1,Components!$K166,0,-Components!AF166*((1+InflationRate)^Components!$K166),0),AD166)</f>
        <v>3103.913948803538</v>
      </c>
      <c r="AF166" s="11">
        <f>IF(Components!AG166&gt;0,PPMT(EarningsRate,1,Components!$K166,0,-Components!AG166*((1+InflationRate)^Components!$K166),0),AE166)</f>
        <v>3103.913948803538</v>
      </c>
      <c r="AG166" s="11">
        <f>IF(Components!AH166&gt;0,PPMT(EarningsRate,1,Components!$K166,0,-Components!AH166*((1+InflationRate)^Components!$K166),0),AF166)</f>
        <v>3103.913948803538</v>
      </c>
      <c r="AH166" s="11">
        <f>IF(Components!AI166&gt;0,PPMT(EarningsRate,1,Components!$K166,0,-Components!AI166*((1+InflationRate)^Components!$K166),0),AG166)</f>
        <v>8712.0461314404438</v>
      </c>
      <c r="AI166" s="11">
        <f>IF(Components!AJ166&gt;0,PPMT(EarningsRate,1,Components!$K166,0,-Components!AJ166*((1+InflationRate)^Components!$K166),0),AH166)</f>
        <v>8712.0461314404438</v>
      </c>
      <c r="AJ166" s="11">
        <f>IF(Components!AK166&gt;0,PPMT(EarningsRate,1,Components!$K166,0,-Components!AK166*((1+InflationRate)^Components!$K166),0),AI166)</f>
        <v>8712.0461314404438</v>
      </c>
      <c r="AK166" s="11">
        <f>IF(Components!AL166&gt;0,PPMT(EarningsRate,1,Components!$K166,0,-Components!AL166*((1+InflationRate)^Components!$K166),0),AJ166)</f>
        <v>8712.0461314404438</v>
      </c>
      <c r="AL166" s="11">
        <f>IF(Components!AM166&gt;0,PPMT(EarningsRate,1,Components!$K166,0,-Components!AM166*((1+InflationRate)^Components!$K166),0),AK166)</f>
        <v>8712.0461314404438</v>
      </c>
      <c r="AM166" s="11">
        <f>IF(Components!AN166&gt;0,PPMT(EarningsRate,1,Components!$K166,0,-Components!AN166*((1+InflationRate)^Components!$K166),0),AL166)</f>
        <v>8712.0461314404438</v>
      </c>
      <c r="AN166" s="11">
        <f>IF(Components!AO166&gt;0,PPMT(EarningsRate,1,Components!$K166,0,-Components!AO166*((1+InflationRate)^Components!$K166),0),AM166)</f>
        <v>8712.0461314404438</v>
      </c>
      <c r="AO166" s="11">
        <f>IF(Components!AP166&gt;0,PPMT(EarningsRate,1,Components!$K166,0,-Components!AP166*((1+InflationRate)^Components!$K166),0),AN166)</f>
        <v>8712.0461314404438</v>
      </c>
      <c r="AP166" s="214"/>
      <c r="AQ166" s="11">
        <f t="shared" si="3"/>
        <v>141086.38997400488</v>
      </c>
    </row>
    <row r="167" spans="1:43" s="1" customFormat="1">
      <c r="A167" s="220" t="str">
        <f>Components!B167</f>
        <v>Asphalt R&amp;R</v>
      </c>
      <c r="B167" s="220" t="str">
        <f>Components!C167</f>
        <v>Parking Lot - 250</v>
      </c>
      <c r="C167" s="211"/>
      <c r="D167" s="211"/>
      <c r="E167" s="211"/>
      <c r="F167" s="88"/>
      <c r="G167" s="212"/>
      <c r="H167" s="212"/>
      <c r="I167" s="212"/>
      <c r="J167" s="211"/>
      <c r="K167" s="11">
        <f>IF('FF Balance'!H167&gt;=0,PPMT(EarningsRate,1,Components!K167,0,-'FF Balance'!G167,0),0)</f>
        <v>5228.2741893931443</v>
      </c>
      <c r="L167" s="11">
        <f>IF(Components!M167&gt;0,PPMT(EarningsRate,1,Components!$K167,0,-Components!M167*((1+InflationRate)^Components!$K167),0),K167)</f>
        <v>5228.2741893931443</v>
      </c>
      <c r="M167" s="11">
        <f>IF(Components!N167&gt;0,PPMT(EarningsRate,1,Components!$K167,0,-Components!N167*((1+InflationRate)^Components!$K167),0),L167)</f>
        <v>5228.2741893931443</v>
      </c>
      <c r="N167" s="11">
        <f>IF(Components!O167&gt;0,PPMT(EarningsRate,1,Components!$K167,0,-Components!O167*((1+InflationRate)^Components!$K167),0),M167)</f>
        <v>5228.2741893931443</v>
      </c>
      <c r="O167" s="11">
        <f>IF(Components!P167&gt;0,PPMT(EarningsRate,1,Components!$K167,0,-Components!P167*((1+InflationRate)^Components!$K167),0),N167)</f>
        <v>5228.2741893931443</v>
      </c>
      <c r="P167" s="11">
        <f>IF(Components!Q167&gt;0,PPMT(EarningsRate,1,Components!$K167,0,-Components!Q167*((1+InflationRate)^Components!$K167),0),O167)</f>
        <v>5228.2741893931443</v>
      </c>
      <c r="Q167" s="11">
        <f>IF(Components!R167&gt;0,PPMT(EarningsRate,1,Components!$K167,0,-Components!R167*((1+InflationRate)^Components!$K167),0),P167)</f>
        <v>5228.2741893931443</v>
      </c>
      <c r="R167" s="11">
        <f>IF(Components!S167&gt;0,PPMT(EarningsRate,1,Components!$K167,0,-Components!S167*((1+InflationRate)^Components!$K167),0),Q167)</f>
        <v>5228.2741893931443</v>
      </c>
      <c r="S167" s="11">
        <f>IF(Components!T167&gt;0,PPMT(EarningsRate,1,Components!$K167,0,-Components!T167*((1+InflationRate)^Components!$K167),0),R167)</f>
        <v>5228.2741893931443</v>
      </c>
      <c r="T167" s="11">
        <f>IF(Components!U167&gt;0,PPMT(EarningsRate,1,Components!$K167,0,-Components!U167*((1+InflationRate)^Components!$K167),0),S167)</f>
        <v>5228.2741893931443</v>
      </c>
      <c r="U167" s="11">
        <f>IF(Components!V167&gt;0,PPMT(EarningsRate,1,Components!$K167,0,-Components!V167*((1+InflationRate)^Components!$K167),0),T167)</f>
        <v>5228.2741893931443</v>
      </c>
      <c r="V167" s="11">
        <f>IF(Components!W167&gt;0,PPMT(EarningsRate,1,Components!$K167,0,-Components!W167*((1+InflationRate)^Components!$K167),0),U167)</f>
        <v>5228.2741893931443</v>
      </c>
      <c r="W167" s="11">
        <f>IF(Components!X167&gt;0,PPMT(EarningsRate,1,Components!$K167,0,-Components!X167*((1+InflationRate)^Components!$K167),0),V167)</f>
        <v>5228.2741893931443</v>
      </c>
      <c r="X167" s="11">
        <f>IF(Components!Y167&gt;0,PPMT(EarningsRate,1,Components!$K167,0,-Components!Y167*((1+InflationRate)^Components!$K167),0),W167)</f>
        <v>5228.2741893931443</v>
      </c>
      <c r="Y167" s="11">
        <f>IF(Components!Z167&gt;0,PPMT(EarningsRate,1,Components!$K167,0,-Components!Z167*((1+InflationRate)^Components!$K167),0),X167)</f>
        <v>5228.2741893931443</v>
      </c>
      <c r="Z167" s="11">
        <f>IF(Components!AA167&gt;0,PPMT(EarningsRate,1,Components!$K167,0,-Components!AA167*((1+InflationRate)^Components!$K167),0),Y167)</f>
        <v>5228.2741893931443</v>
      </c>
      <c r="AA167" s="11">
        <f>IF(Components!AB167&gt;0,PPMT(EarningsRate,1,Components!$K167,0,-Components!AB167*((1+InflationRate)^Components!$K167),0),Z167)</f>
        <v>5228.2741893931443</v>
      </c>
      <c r="AB167" s="11">
        <f>IF(Components!AC167&gt;0,PPMT(EarningsRate,1,Components!$K167,0,-Components!AC167*((1+InflationRate)^Components!$K167),0),AA167)</f>
        <v>5228.2741893931443</v>
      </c>
      <c r="AC167" s="11">
        <f>IF(Components!AD167&gt;0,PPMT(EarningsRate,1,Components!$K167,0,-Components!AD167*((1+InflationRate)^Components!$K167),0),AB167)</f>
        <v>5228.2741893931443</v>
      </c>
      <c r="AD167" s="11">
        <f>IF(Components!AE167&gt;0,PPMT(EarningsRate,1,Components!$K167,0,-Components!AE167*((1+InflationRate)^Components!$K167),0),AC167)</f>
        <v>5228.2741893931443</v>
      </c>
      <c r="AE167" s="11">
        <f>IF(Components!AF167&gt;0,PPMT(EarningsRate,1,Components!$K167,0,-Components!AF167*((1+InflationRate)^Components!$K167),0),AD167)</f>
        <v>5228.2741893931443</v>
      </c>
      <c r="AF167" s="11">
        <f>IF(Components!AG167&gt;0,PPMT(EarningsRate,1,Components!$K167,0,-Components!AG167*((1+InflationRate)^Components!$K167),0),AE167)</f>
        <v>5228.2741893931443</v>
      </c>
      <c r="AG167" s="11">
        <f>IF(Components!AH167&gt;0,PPMT(EarningsRate,1,Components!$K167,0,-Components!AH167*((1+InflationRate)^Components!$K167),0),AF167)</f>
        <v>5228.2741893931443</v>
      </c>
      <c r="AH167" s="11">
        <f>IF(Components!AI167&gt;0,PPMT(EarningsRate,1,Components!$K167,0,-Components!AI167*((1+InflationRate)^Components!$K167),0),AG167)</f>
        <v>5228.2741893931443</v>
      </c>
      <c r="AI167" s="11">
        <f>IF(Components!AJ167&gt;0,PPMT(EarningsRate,1,Components!$K167,0,-Components!AJ167*((1+InflationRate)^Components!$K167),0),AH167)</f>
        <v>14674.687081247906</v>
      </c>
      <c r="AJ167" s="11">
        <f>IF(Components!AK167&gt;0,PPMT(EarningsRate,1,Components!$K167,0,-Components!AK167*((1+InflationRate)^Components!$K167),0),AI167)</f>
        <v>14674.687081247906</v>
      </c>
      <c r="AK167" s="11">
        <f>IF(Components!AL167&gt;0,PPMT(EarningsRate,1,Components!$K167,0,-Components!AL167*((1+InflationRate)^Components!$K167),0),AJ167)</f>
        <v>14674.687081247906</v>
      </c>
      <c r="AL167" s="11">
        <f>IF(Components!AM167&gt;0,PPMT(EarningsRate,1,Components!$K167,0,-Components!AM167*((1+InflationRate)^Components!$K167),0),AK167)</f>
        <v>14674.687081247906</v>
      </c>
      <c r="AM167" s="11">
        <f>IF(Components!AN167&gt;0,PPMT(EarningsRate,1,Components!$K167,0,-Components!AN167*((1+InflationRate)^Components!$K167),0),AL167)</f>
        <v>14674.687081247906</v>
      </c>
      <c r="AN167" s="11">
        <f>IF(Components!AO167&gt;0,PPMT(EarningsRate,1,Components!$K167,0,-Components!AO167*((1+InflationRate)^Components!$K167),0),AM167)</f>
        <v>14674.687081247906</v>
      </c>
      <c r="AO167" s="11">
        <f>IF(Components!AP167&gt;0,PPMT(EarningsRate,1,Components!$K167,0,-Components!AP167*((1+InflationRate)^Components!$K167),0),AN167)</f>
        <v>14674.687081247906</v>
      </c>
      <c r="AP167" s="214"/>
      <c r="AQ167" s="11">
        <f t="shared" si="3"/>
        <v>228201.39021417082</v>
      </c>
    </row>
    <row r="168" spans="1:43" s="1" customFormat="1">
      <c r="A168" s="220" t="str">
        <f>Components!B168</f>
        <v>Asphalt R&amp;R</v>
      </c>
      <c r="B168" s="220" t="str">
        <f>Components!C168</f>
        <v>Parking Lot - Club</v>
      </c>
      <c r="C168" s="211"/>
      <c r="D168" s="211"/>
      <c r="E168" s="211"/>
      <c r="F168" s="88"/>
      <c r="G168" s="212"/>
      <c r="H168" s="212"/>
      <c r="I168" s="212"/>
      <c r="J168" s="211"/>
      <c r="K168" s="11">
        <f>IF('FF Balance'!H168&gt;=0,PPMT(EarningsRate,1,Components!K168,0,-'FF Balance'!G168,0),0)</f>
        <v>5455.1146299605343</v>
      </c>
      <c r="L168" s="11">
        <f>IF(Components!M168&gt;0,PPMT(EarningsRate,1,Components!$K168,0,-Components!M168*((1+InflationRate)^Components!$K168),0),K168)</f>
        <v>5455.1146299605343</v>
      </c>
      <c r="M168" s="11">
        <f>IF(Components!N168&gt;0,PPMT(EarningsRate,1,Components!$K168,0,-Components!N168*((1+InflationRate)^Components!$K168),0),L168)</f>
        <v>5455.1146299605343</v>
      </c>
      <c r="N168" s="11">
        <f>IF(Components!O168&gt;0,PPMT(EarningsRate,1,Components!$K168,0,-Components!O168*((1+InflationRate)^Components!$K168),0),M168)</f>
        <v>5455.1146299605343</v>
      </c>
      <c r="O168" s="11">
        <f>IF(Components!P168&gt;0,PPMT(EarningsRate,1,Components!$K168,0,-Components!P168*((1+InflationRate)^Components!$K168),0),N168)</f>
        <v>5455.1146299605343</v>
      </c>
      <c r="P168" s="11">
        <f>IF(Components!Q168&gt;0,PPMT(EarningsRate,1,Components!$K168,0,-Components!Q168*((1+InflationRate)^Components!$K168),0),O168)</f>
        <v>5455.1146299605343</v>
      </c>
      <c r="Q168" s="11">
        <f>IF(Components!R168&gt;0,PPMT(EarningsRate,1,Components!$K168,0,-Components!R168*((1+InflationRate)^Components!$K168),0),P168)</f>
        <v>5455.1146299605343</v>
      </c>
      <c r="R168" s="11">
        <f>IF(Components!S168&gt;0,PPMT(EarningsRate,1,Components!$K168,0,-Components!S168*((1+InflationRate)^Components!$K168),0),Q168)</f>
        <v>5455.1146299605343</v>
      </c>
      <c r="S168" s="11">
        <f>IF(Components!T168&gt;0,PPMT(EarningsRate,1,Components!$K168,0,-Components!T168*((1+InflationRate)^Components!$K168),0),R168)</f>
        <v>5455.1146299605343</v>
      </c>
      <c r="T168" s="11">
        <f>IF(Components!U168&gt;0,PPMT(EarningsRate,1,Components!$K168,0,-Components!U168*((1+InflationRate)^Components!$K168),0),S168)</f>
        <v>5455.1146299605343</v>
      </c>
      <c r="U168" s="11">
        <f>IF(Components!V168&gt;0,PPMT(EarningsRate,1,Components!$K168,0,-Components!V168*((1+InflationRate)^Components!$K168),0),T168)</f>
        <v>5455.1146299605343</v>
      </c>
      <c r="V168" s="11">
        <f>IF(Components!W168&gt;0,PPMT(EarningsRate,1,Components!$K168,0,-Components!W168*((1+InflationRate)^Components!$K168),0),U168)</f>
        <v>5455.1146299605343</v>
      </c>
      <c r="W168" s="11">
        <f>IF(Components!X168&gt;0,PPMT(EarningsRate,1,Components!$K168,0,-Components!X168*((1+InflationRate)^Components!$K168),0),V168)</f>
        <v>5455.1146299605343</v>
      </c>
      <c r="X168" s="11">
        <f>IF(Components!Y168&gt;0,PPMT(EarningsRate,1,Components!$K168,0,-Components!Y168*((1+InflationRate)^Components!$K168),0),W168)</f>
        <v>5455.1146299605343</v>
      </c>
      <c r="Y168" s="11">
        <f>IF(Components!Z168&gt;0,PPMT(EarningsRate,1,Components!$K168,0,-Components!Z168*((1+InflationRate)^Components!$K168),0),X168)</f>
        <v>5455.1146299605343</v>
      </c>
      <c r="Z168" s="11">
        <f>IF(Components!AA168&gt;0,PPMT(EarningsRate,1,Components!$K168,0,-Components!AA168*((1+InflationRate)^Components!$K168),0),Y168)</f>
        <v>5455.1146299605343</v>
      </c>
      <c r="AA168" s="11">
        <f>IF(Components!AB168&gt;0,PPMT(EarningsRate,1,Components!$K168,0,-Components!AB168*((1+InflationRate)^Components!$K168),0),Z168)</f>
        <v>5455.1146299605343</v>
      </c>
      <c r="AB168" s="11">
        <f>IF(Components!AC168&gt;0,PPMT(EarningsRate,1,Components!$K168,0,-Components!AC168*((1+InflationRate)^Components!$K168),0),AA168)</f>
        <v>5455.1146299605343</v>
      </c>
      <c r="AC168" s="11">
        <f>IF(Components!AD168&gt;0,PPMT(EarningsRate,1,Components!$K168,0,-Components!AD168*((1+InflationRate)^Components!$K168),0),AB168)</f>
        <v>5455.1146299605343</v>
      </c>
      <c r="AD168" s="11">
        <f>IF(Components!AE168&gt;0,PPMT(EarningsRate,1,Components!$K168,0,-Components!AE168*((1+InflationRate)^Components!$K168),0),AC168)</f>
        <v>5455.1146299605343</v>
      </c>
      <c r="AE168" s="11">
        <f>IF(Components!AF168&gt;0,PPMT(EarningsRate,1,Components!$K168,0,-Components!AF168*((1+InflationRate)^Components!$K168),0),AD168)</f>
        <v>5455.1146299605343</v>
      </c>
      <c r="AF168" s="11">
        <f>IF(Components!AG168&gt;0,PPMT(EarningsRate,1,Components!$K168,0,-Components!AG168*((1+InflationRate)^Components!$K168),0),AE168)</f>
        <v>5455.1146299605343</v>
      </c>
      <c r="AG168" s="11">
        <f>IF(Components!AH168&gt;0,PPMT(EarningsRate,1,Components!$K168,0,-Components!AH168*((1+InflationRate)^Components!$K168),0),AF168)</f>
        <v>5455.1146299605343</v>
      </c>
      <c r="AH168" s="11">
        <f>IF(Components!AI168&gt;0,PPMT(EarningsRate,1,Components!$K168,0,-Components!AI168*((1+InflationRate)^Components!$K168),0),AG168)</f>
        <v>15311.38140180443</v>
      </c>
      <c r="AI168" s="11">
        <f>IF(Components!AJ168&gt;0,PPMT(EarningsRate,1,Components!$K168,0,-Components!AJ168*((1+InflationRate)^Components!$K168),0),AH168)</f>
        <v>15311.38140180443</v>
      </c>
      <c r="AJ168" s="11">
        <f>IF(Components!AK168&gt;0,PPMT(EarningsRate,1,Components!$K168,0,-Components!AK168*((1+InflationRate)^Components!$K168),0),AI168)</f>
        <v>15311.38140180443</v>
      </c>
      <c r="AK168" s="11">
        <f>IF(Components!AL168&gt;0,PPMT(EarningsRate,1,Components!$K168,0,-Components!AL168*((1+InflationRate)^Components!$K168),0),AJ168)</f>
        <v>15311.38140180443</v>
      </c>
      <c r="AL168" s="11">
        <f>IF(Components!AM168&gt;0,PPMT(EarningsRate,1,Components!$K168,0,-Components!AM168*((1+InflationRate)^Components!$K168),0),AK168)</f>
        <v>15311.38140180443</v>
      </c>
      <c r="AM168" s="11">
        <f>IF(Components!AN168&gt;0,PPMT(EarningsRate,1,Components!$K168,0,-Components!AN168*((1+InflationRate)^Components!$K168),0),AL168)</f>
        <v>15311.38140180443</v>
      </c>
      <c r="AN168" s="11">
        <f>IF(Components!AO168&gt;0,PPMT(EarningsRate,1,Components!$K168,0,-Components!AO168*((1+InflationRate)^Components!$K168),0),AM168)</f>
        <v>15311.38140180443</v>
      </c>
      <c r="AO168" s="11">
        <f>IF(Components!AP168&gt;0,PPMT(EarningsRate,1,Components!$K168,0,-Components!AP168*((1+InflationRate)^Components!$K168),0),AN168)</f>
        <v>15311.38140180443</v>
      </c>
      <c r="AP168" s="214"/>
      <c r="AQ168" s="11">
        <f t="shared" si="3"/>
        <v>247958.68780352763</v>
      </c>
    </row>
    <row r="169" spans="1:43" s="1" customFormat="1">
      <c r="A169" s="220" t="str">
        <f>Components!B169</f>
        <v>Asphalt R&amp;R</v>
      </c>
      <c r="B169" s="220" t="str">
        <f>Components!C169</f>
        <v>Parking Lot - Shop</v>
      </c>
      <c r="C169" s="211"/>
      <c r="D169" s="211"/>
      <c r="E169" s="211"/>
      <c r="F169" s="88"/>
      <c r="G169" s="212"/>
      <c r="H169" s="212"/>
      <c r="I169" s="212"/>
      <c r="J169" s="211"/>
      <c r="K169" s="11">
        <f>IF('FF Balance'!H169&gt;=0,PPMT(EarningsRate,1,Components!K169,0,-'FF Balance'!G169,0),0)</f>
        <v>1389.8951555817739</v>
      </c>
      <c r="L169" s="11">
        <f>IF(Components!M169&gt;0,PPMT(EarningsRate,1,Components!$K169,0,-Components!M169*((1+InflationRate)^Components!$K169),0),K169)</f>
        <v>3901.1489728836004</v>
      </c>
      <c r="M169" s="11">
        <f>IF(Components!N169&gt;0,PPMT(EarningsRate,1,Components!$K169,0,-Components!N169*((1+InflationRate)^Components!$K169),0),L169)</f>
        <v>3901.1489728836004</v>
      </c>
      <c r="N169" s="11">
        <f>IF(Components!O169&gt;0,PPMT(EarningsRate,1,Components!$K169,0,-Components!O169*((1+InflationRate)^Components!$K169),0),M169)</f>
        <v>3901.1489728836004</v>
      </c>
      <c r="O169" s="11">
        <f>IF(Components!P169&gt;0,PPMT(EarningsRate,1,Components!$K169,0,-Components!P169*((1+InflationRate)^Components!$K169),0),N169)</f>
        <v>3901.1489728836004</v>
      </c>
      <c r="P169" s="11">
        <f>IF(Components!Q169&gt;0,PPMT(EarningsRate,1,Components!$K169,0,-Components!Q169*((1+InflationRate)^Components!$K169),0),O169)</f>
        <v>3901.1489728836004</v>
      </c>
      <c r="Q169" s="11">
        <f>IF(Components!R169&gt;0,PPMT(EarningsRate,1,Components!$K169,0,-Components!R169*((1+InflationRate)^Components!$K169),0),P169)</f>
        <v>3901.1489728836004</v>
      </c>
      <c r="R169" s="11">
        <f>IF(Components!S169&gt;0,PPMT(EarningsRate,1,Components!$K169,0,-Components!S169*((1+InflationRate)^Components!$K169),0),Q169)</f>
        <v>3901.1489728836004</v>
      </c>
      <c r="S169" s="11">
        <f>IF(Components!T169&gt;0,PPMT(EarningsRate,1,Components!$K169,0,-Components!T169*((1+InflationRate)^Components!$K169),0),R169)</f>
        <v>3901.1489728836004</v>
      </c>
      <c r="T169" s="11">
        <f>IF(Components!U169&gt;0,PPMT(EarningsRate,1,Components!$K169,0,-Components!U169*((1+InflationRate)^Components!$K169),0),S169)</f>
        <v>3901.1489728836004</v>
      </c>
      <c r="U169" s="11">
        <f>IF(Components!V169&gt;0,PPMT(EarningsRate,1,Components!$K169,0,-Components!V169*((1+InflationRate)^Components!$K169),0),T169)</f>
        <v>3901.1489728836004</v>
      </c>
      <c r="V169" s="11">
        <f>IF(Components!W169&gt;0,PPMT(EarningsRate,1,Components!$K169,0,-Components!W169*((1+InflationRate)^Components!$K169),0),U169)</f>
        <v>3901.1489728836004</v>
      </c>
      <c r="W169" s="11">
        <f>IF(Components!X169&gt;0,PPMT(EarningsRate,1,Components!$K169,0,-Components!X169*((1+InflationRate)^Components!$K169),0),V169)</f>
        <v>3901.1489728836004</v>
      </c>
      <c r="X169" s="11">
        <f>IF(Components!Y169&gt;0,PPMT(EarningsRate,1,Components!$K169,0,-Components!Y169*((1+InflationRate)^Components!$K169),0),W169)</f>
        <v>3901.1489728836004</v>
      </c>
      <c r="Y169" s="11">
        <f>IF(Components!Z169&gt;0,PPMT(EarningsRate,1,Components!$K169,0,-Components!Z169*((1+InflationRate)^Components!$K169),0),X169)</f>
        <v>3901.1489728836004</v>
      </c>
      <c r="Z169" s="11">
        <f>IF(Components!AA169&gt;0,PPMT(EarningsRate,1,Components!$K169,0,-Components!AA169*((1+InflationRate)^Components!$K169),0),Y169)</f>
        <v>3901.1489728836004</v>
      </c>
      <c r="AA169" s="11">
        <f>IF(Components!AB169&gt;0,PPMT(EarningsRate,1,Components!$K169,0,-Components!AB169*((1+InflationRate)^Components!$K169),0),Z169)</f>
        <v>3901.1489728836004</v>
      </c>
      <c r="AB169" s="11">
        <f>IF(Components!AC169&gt;0,PPMT(EarningsRate,1,Components!$K169,0,-Components!AC169*((1+InflationRate)^Components!$K169),0),AA169)</f>
        <v>3901.1489728836004</v>
      </c>
      <c r="AC169" s="11">
        <f>IF(Components!AD169&gt;0,PPMT(EarningsRate,1,Components!$K169,0,-Components!AD169*((1+InflationRate)^Components!$K169),0),AB169)</f>
        <v>3901.1489728836004</v>
      </c>
      <c r="AD169" s="11">
        <f>IF(Components!AE169&gt;0,PPMT(EarningsRate,1,Components!$K169,0,-Components!AE169*((1+InflationRate)^Components!$K169),0),AC169)</f>
        <v>3901.1489728836004</v>
      </c>
      <c r="AE169" s="11">
        <f>IF(Components!AF169&gt;0,PPMT(EarningsRate,1,Components!$K169,0,-Components!AF169*((1+InflationRate)^Components!$K169),0),AD169)</f>
        <v>3901.1489728836004</v>
      </c>
      <c r="AF169" s="11">
        <f>IF(Components!AG169&gt;0,PPMT(EarningsRate,1,Components!$K169,0,-Components!AG169*((1+InflationRate)^Components!$K169),0),AE169)</f>
        <v>3901.1489728836004</v>
      </c>
      <c r="AG169" s="11">
        <f>IF(Components!AH169&gt;0,PPMT(EarningsRate,1,Components!$K169,0,-Components!AH169*((1+InflationRate)^Components!$K169),0),AF169)</f>
        <v>3901.1489728836004</v>
      </c>
      <c r="AH169" s="11">
        <f>IF(Components!AI169&gt;0,PPMT(EarningsRate,1,Components!$K169,0,-Components!AI169*((1+InflationRate)^Components!$K169),0),AG169)</f>
        <v>3901.1489728836004</v>
      </c>
      <c r="AI169" s="11">
        <f>IF(Components!AJ169&gt;0,PPMT(EarningsRate,1,Components!$K169,0,-Components!AJ169*((1+InflationRate)^Components!$K169),0),AH169)</f>
        <v>3901.1489728836004</v>
      </c>
      <c r="AJ169" s="11">
        <f>IF(Components!AK169&gt;0,PPMT(EarningsRate,1,Components!$K169,0,-Components!AK169*((1+InflationRate)^Components!$K169),0),AI169)</f>
        <v>3901.1489728836004</v>
      </c>
      <c r="AK169" s="11">
        <f>IF(Components!AL169&gt;0,PPMT(EarningsRate,1,Components!$K169,0,-Components!AL169*((1+InflationRate)^Components!$K169),0),AJ169)</f>
        <v>3901.1489728836004</v>
      </c>
      <c r="AL169" s="11">
        <f>IF(Components!AM169&gt;0,PPMT(EarningsRate,1,Components!$K169,0,-Components!AM169*((1+InflationRate)^Components!$K169),0),AK169)</f>
        <v>3901.1489728836004</v>
      </c>
      <c r="AM169" s="11">
        <f>IF(Components!AN169&gt;0,PPMT(EarningsRate,1,Components!$K169,0,-Components!AN169*((1+InflationRate)^Components!$K169),0),AL169)</f>
        <v>3901.1489728836004</v>
      </c>
      <c r="AN169" s="11">
        <f>IF(Components!AO169&gt;0,PPMT(EarningsRate,1,Components!$K169,0,-Components!AO169*((1+InflationRate)^Components!$K169),0),AM169)</f>
        <v>3901.1489728836004</v>
      </c>
      <c r="AO169" s="11">
        <f>IF(Components!AP169&gt;0,PPMT(EarningsRate,1,Components!$K169,0,-Components!AP169*((1+InflationRate)^Components!$K169),0),AN169)</f>
        <v>3901.1489728836004</v>
      </c>
      <c r="AP169" s="214"/>
      <c r="AQ169" s="11">
        <f t="shared" si="3"/>
        <v>118424.36444208983</v>
      </c>
    </row>
    <row r="170" spans="1:43" s="1" customFormat="1">
      <c r="A170" s="220" t="str">
        <f>Components!B170</f>
        <v>Asphalt R&amp;R</v>
      </c>
      <c r="B170" s="220" t="str">
        <f>Components!C170</f>
        <v>RV Lot</v>
      </c>
      <c r="C170" s="211"/>
      <c r="D170" s="211"/>
      <c r="E170" s="211"/>
      <c r="F170" s="88"/>
      <c r="G170" s="212"/>
      <c r="H170" s="212"/>
      <c r="I170" s="212"/>
      <c r="J170" s="211"/>
      <c r="K170" s="11">
        <f>IF('FF Balance'!H170&gt;=0,PPMT(EarningsRate,1,Components!K170,0,-'FF Balance'!G170,0),0)</f>
        <v>4490.1691743376978</v>
      </c>
      <c r="L170" s="11">
        <f>IF(Components!M170&gt;0,PPMT(EarningsRate,1,Components!$K170,0,-Components!M170*((1+InflationRate)^Components!$K170),0),K170)</f>
        <v>4490.1691743376978</v>
      </c>
      <c r="M170" s="11">
        <f>IF(Components!N170&gt;0,PPMT(EarningsRate,1,Components!$K170,0,-Components!N170*((1+InflationRate)^Components!$K170),0),L170)</f>
        <v>4490.1691743376978</v>
      </c>
      <c r="N170" s="11">
        <f>IF(Components!O170&gt;0,PPMT(EarningsRate,1,Components!$K170,0,-Components!O170*((1+InflationRate)^Components!$K170),0),M170)</f>
        <v>4490.1691743376978</v>
      </c>
      <c r="O170" s="11">
        <f>IF(Components!P170&gt;0,PPMT(EarningsRate,1,Components!$K170,0,-Components!P170*((1+InflationRate)^Components!$K170),0),N170)</f>
        <v>4490.1691743376978</v>
      </c>
      <c r="P170" s="11">
        <f>IF(Components!Q170&gt;0,PPMT(EarningsRate,1,Components!$K170,0,-Components!Q170*((1+InflationRate)^Components!$K170),0),O170)</f>
        <v>4490.1691743376978</v>
      </c>
      <c r="Q170" s="11">
        <f>IF(Components!R170&gt;0,PPMT(EarningsRate,1,Components!$K170,0,-Components!R170*((1+InflationRate)^Components!$K170),0),P170)</f>
        <v>4490.1691743376978</v>
      </c>
      <c r="R170" s="11">
        <f>IF(Components!S170&gt;0,PPMT(EarningsRate,1,Components!$K170,0,-Components!S170*((1+InflationRate)^Components!$K170),0),Q170)</f>
        <v>4490.1691743376978</v>
      </c>
      <c r="S170" s="11">
        <f>IF(Components!T170&gt;0,PPMT(EarningsRate,1,Components!$K170,0,-Components!T170*((1+InflationRate)^Components!$K170),0),R170)</f>
        <v>12602.978571580841</v>
      </c>
      <c r="T170" s="11">
        <f>IF(Components!U170&gt;0,PPMT(EarningsRate,1,Components!$K170,0,-Components!U170*((1+InflationRate)^Components!$K170),0),S170)</f>
        <v>12602.978571580841</v>
      </c>
      <c r="U170" s="11">
        <f>IF(Components!V170&gt;0,PPMT(EarningsRate,1,Components!$K170,0,-Components!V170*((1+InflationRate)^Components!$K170),0),T170)</f>
        <v>12602.978571580841</v>
      </c>
      <c r="V170" s="11">
        <f>IF(Components!W170&gt;0,PPMT(EarningsRate,1,Components!$K170,0,-Components!W170*((1+InflationRate)^Components!$K170),0),U170)</f>
        <v>12602.978571580841</v>
      </c>
      <c r="W170" s="11">
        <f>IF(Components!X170&gt;0,PPMT(EarningsRate,1,Components!$K170,0,-Components!X170*((1+InflationRate)^Components!$K170),0),V170)</f>
        <v>12602.978571580841</v>
      </c>
      <c r="X170" s="11">
        <f>IF(Components!Y170&gt;0,PPMT(EarningsRate,1,Components!$K170,0,-Components!Y170*((1+InflationRate)^Components!$K170),0),W170)</f>
        <v>12602.978571580841</v>
      </c>
      <c r="Y170" s="11">
        <f>IF(Components!Z170&gt;0,PPMT(EarningsRate,1,Components!$K170,0,-Components!Z170*((1+InflationRate)^Components!$K170),0),X170)</f>
        <v>12602.978571580841</v>
      </c>
      <c r="Z170" s="11">
        <f>IF(Components!AA170&gt;0,PPMT(EarningsRate,1,Components!$K170,0,-Components!AA170*((1+InflationRate)^Components!$K170),0),Y170)</f>
        <v>12602.978571580841</v>
      </c>
      <c r="AA170" s="11">
        <f>IF(Components!AB170&gt;0,PPMT(EarningsRate,1,Components!$K170,0,-Components!AB170*((1+InflationRate)^Components!$K170),0),Z170)</f>
        <v>12602.978571580841</v>
      </c>
      <c r="AB170" s="11">
        <f>IF(Components!AC170&gt;0,PPMT(EarningsRate,1,Components!$K170,0,-Components!AC170*((1+InflationRate)^Components!$K170),0),AA170)</f>
        <v>12602.978571580841</v>
      </c>
      <c r="AC170" s="11">
        <f>IF(Components!AD170&gt;0,PPMT(EarningsRate,1,Components!$K170,0,-Components!AD170*((1+InflationRate)^Components!$K170),0),AB170)</f>
        <v>12602.978571580841</v>
      </c>
      <c r="AD170" s="11">
        <f>IF(Components!AE170&gt;0,PPMT(EarningsRate,1,Components!$K170,0,-Components!AE170*((1+InflationRate)^Components!$K170),0),AC170)</f>
        <v>12602.978571580841</v>
      </c>
      <c r="AE170" s="11">
        <f>IF(Components!AF170&gt;0,PPMT(EarningsRate,1,Components!$K170,0,-Components!AF170*((1+InflationRate)^Components!$K170),0),AD170)</f>
        <v>12602.978571580841</v>
      </c>
      <c r="AF170" s="11">
        <f>IF(Components!AG170&gt;0,PPMT(EarningsRate,1,Components!$K170,0,-Components!AG170*((1+InflationRate)^Components!$K170),0),AE170)</f>
        <v>12602.978571580841</v>
      </c>
      <c r="AG170" s="11">
        <f>IF(Components!AH170&gt;0,PPMT(EarningsRate,1,Components!$K170,0,-Components!AH170*((1+InflationRate)^Components!$K170),0),AF170)</f>
        <v>12602.978571580841</v>
      </c>
      <c r="AH170" s="11">
        <f>IF(Components!AI170&gt;0,PPMT(EarningsRate,1,Components!$K170,0,-Components!AI170*((1+InflationRate)^Components!$K170),0),AG170)</f>
        <v>12602.978571580841</v>
      </c>
      <c r="AI170" s="11">
        <f>IF(Components!AJ170&gt;0,PPMT(EarningsRate,1,Components!$K170,0,-Components!AJ170*((1+InflationRate)^Components!$K170),0),AH170)</f>
        <v>12602.978571580841</v>
      </c>
      <c r="AJ170" s="11">
        <f>IF(Components!AK170&gt;0,PPMT(EarningsRate,1,Components!$K170,0,-Components!AK170*((1+InflationRate)^Components!$K170),0),AI170)</f>
        <v>12602.978571580841</v>
      </c>
      <c r="AK170" s="11">
        <f>IF(Components!AL170&gt;0,PPMT(EarningsRate,1,Components!$K170,0,-Components!AL170*((1+InflationRate)^Components!$K170),0),AJ170)</f>
        <v>12602.978571580841</v>
      </c>
      <c r="AL170" s="11">
        <f>IF(Components!AM170&gt;0,PPMT(EarningsRate,1,Components!$K170,0,-Components!AM170*((1+InflationRate)^Components!$K170),0),AK170)</f>
        <v>12602.978571580841</v>
      </c>
      <c r="AM170" s="11">
        <f>IF(Components!AN170&gt;0,PPMT(EarningsRate,1,Components!$K170,0,-Components!AN170*((1+InflationRate)^Components!$K170),0),AL170)</f>
        <v>12602.978571580841</v>
      </c>
      <c r="AN170" s="11">
        <f>IF(Components!AO170&gt;0,PPMT(EarningsRate,1,Components!$K170,0,-Components!AO170*((1+InflationRate)^Components!$K170),0),AM170)</f>
        <v>12602.978571580841</v>
      </c>
      <c r="AO170" s="11">
        <f>IF(Components!AP170&gt;0,PPMT(EarningsRate,1,Components!$K170,0,-Components!AP170*((1+InflationRate)^Components!$K170),0),AN170)</f>
        <v>12602.978571580841</v>
      </c>
      <c r="AP170" s="214"/>
      <c r="AQ170" s="11">
        <f t="shared" si="3"/>
        <v>325789.86064106092</v>
      </c>
    </row>
    <row r="171" spans="1:43" s="1" customFormat="1">
      <c r="A171" s="220" t="str">
        <f>Components!B171</f>
        <v>Exterior</v>
      </c>
      <c r="B171" s="220" t="str">
        <f>Components!C171</f>
        <v>Directional Signs</v>
      </c>
      <c r="C171" s="211"/>
      <c r="D171" s="211"/>
      <c r="E171" s="211"/>
      <c r="F171" s="88"/>
      <c r="G171" s="212"/>
      <c r="H171" s="212"/>
      <c r="I171" s="212"/>
      <c r="J171" s="211"/>
      <c r="K171" s="11">
        <f>IF('FF Balance'!H171&gt;=0,PPMT(EarningsRate,1,Components!K171,0,-'FF Balance'!G171,0),0)</f>
        <v>1154.8528000124024</v>
      </c>
      <c r="L171" s="11">
        <f>IF(Components!M171&gt;0,PPMT(EarningsRate,1,Components!$K171,0,-Components!M171*((1+InflationRate)^Components!$K171),0),K171)</f>
        <v>1154.8528000124024</v>
      </c>
      <c r="M171" s="11">
        <f>IF(Components!N171&gt;0,PPMT(EarningsRate,1,Components!$K171,0,-Components!N171*((1+InflationRate)^Components!$K171),0),L171)</f>
        <v>1154.8528000124024</v>
      </c>
      <c r="N171" s="11">
        <f>IF(Components!O171&gt;0,PPMT(EarningsRate,1,Components!$K171,0,-Components!O171*((1+InflationRate)^Components!$K171),0),M171)</f>
        <v>1154.8528000124024</v>
      </c>
      <c r="O171" s="11">
        <f>IF(Components!P171&gt;0,PPMT(EarningsRate,1,Components!$K171,0,-Components!P171*((1+InflationRate)^Components!$K171),0),N171)</f>
        <v>1154.8528000124024</v>
      </c>
      <c r="P171" s="11">
        <f>IF(Components!Q171&gt;0,PPMT(EarningsRate,1,Components!$K171,0,-Components!Q171*((1+InflationRate)^Components!$K171),0),O171)</f>
        <v>1154.8528000124024</v>
      </c>
      <c r="Q171" s="11">
        <f>IF(Components!R171&gt;0,PPMT(EarningsRate,1,Components!$K171,0,-Components!R171*((1+InflationRate)^Components!$K171),0),P171)</f>
        <v>1154.8528000124024</v>
      </c>
      <c r="R171" s="11">
        <f>IF(Components!S171&gt;0,PPMT(EarningsRate,1,Components!$K171,0,-Components!S171*((1+InflationRate)^Components!$K171),0),Q171)</f>
        <v>1154.8528000124024</v>
      </c>
      <c r="S171" s="11">
        <f>IF(Components!T171&gt;0,PPMT(EarningsRate,1,Components!$K171,0,-Components!T171*((1+InflationRate)^Components!$K171),0),R171)</f>
        <v>1154.8528000124024</v>
      </c>
      <c r="T171" s="11">
        <f>IF(Components!U171&gt;0,PPMT(EarningsRate,1,Components!$K171,0,-Components!U171*((1+InflationRate)^Components!$K171),0),S171)</f>
        <v>1154.8528000124024</v>
      </c>
      <c r="U171" s="11">
        <f>IF(Components!V171&gt;0,PPMT(EarningsRate,1,Components!$K171,0,-Components!V171*((1+InflationRate)^Components!$K171),0),T171)</f>
        <v>1154.8528000124024</v>
      </c>
      <c r="V171" s="11">
        <f>IF(Components!W171&gt;0,PPMT(EarningsRate,1,Components!$K171,0,-Components!W171*((1+InflationRate)^Components!$K171),0),U171)</f>
        <v>1154.8528000124024</v>
      </c>
      <c r="W171" s="11">
        <f>IF(Components!X171&gt;0,PPMT(EarningsRate,1,Components!$K171,0,-Components!X171*((1+InflationRate)^Components!$K171),0),V171)</f>
        <v>1154.8528000124024</v>
      </c>
      <c r="X171" s="11">
        <f>IF(Components!Y171&gt;0,PPMT(EarningsRate,1,Components!$K171,0,-Components!Y171*((1+InflationRate)^Components!$K171),0),W171)</f>
        <v>1154.8528000124024</v>
      </c>
      <c r="Y171" s="11">
        <f>IF(Components!Z171&gt;0,PPMT(EarningsRate,1,Components!$K171,0,-Components!Z171*((1+InflationRate)^Components!$K171),0),X171)</f>
        <v>2297.9132404070242</v>
      </c>
      <c r="Z171" s="11">
        <f>IF(Components!AA171&gt;0,PPMT(EarningsRate,1,Components!$K171,0,-Components!AA171*((1+InflationRate)^Components!$K171),0),Y171)</f>
        <v>2297.9132404070242</v>
      </c>
      <c r="AA171" s="11">
        <f>IF(Components!AB171&gt;0,PPMT(EarningsRate,1,Components!$K171,0,-Components!AB171*((1+InflationRate)^Components!$K171),0),Z171)</f>
        <v>2297.9132404070242</v>
      </c>
      <c r="AB171" s="11">
        <f>IF(Components!AC171&gt;0,PPMT(EarningsRate,1,Components!$K171,0,-Components!AC171*((1+InflationRate)^Components!$K171),0),AA171)</f>
        <v>2297.9132404070242</v>
      </c>
      <c r="AC171" s="11">
        <f>IF(Components!AD171&gt;0,PPMT(EarningsRate,1,Components!$K171,0,-Components!AD171*((1+InflationRate)^Components!$K171),0),AB171)</f>
        <v>2297.9132404070242</v>
      </c>
      <c r="AD171" s="11">
        <f>IF(Components!AE171&gt;0,PPMT(EarningsRate,1,Components!$K171,0,-Components!AE171*((1+InflationRate)^Components!$K171),0),AC171)</f>
        <v>2297.9132404070242</v>
      </c>
      <c r="AE171" s="11">
        <f>IF(Components!AF171&gt;0,PPMT(EarningsRate,1,Components!$K171,0,-Components!AF171*((1+InflationRate)^Components!$K171),0),AD171)</f>
        <v>2297.9132404070242</v>
      </c>
      <c r="AF171" s="11">
        <f>IF(Components!AG171&gt;0,PPMT(EarningsRate,1,Components!$K171,0,-Components!AG171*((1+InflationRate)^Components!$K171),0),AE171)</f>
        <v>2297.9132404070242</v>
      </c>
      <c r="AG171" s="11">
        <f>IF(Components!AH171&gt;0,PPMT(EarningsRate,1,Components!$K171,0,-Components!AH171*((1+InflationRate)^Components!$K171),0),AF171)</f>
        <v>2297.9132404070242</v>
      </c>
      <c r="AH171" s="11">
        <f>IF(Components!AI171&gt;0,PPMT(EarningsRate,1,Components!$K171,0,-Components!AI171*((1+InflationRate)^Components!$K171),0),AG171)</f>
        <v>2297.9132404070242</v>
      </c>
      <c r="AI171" s="11">
        <f>IF(Components!AJ171&gt;0,PPMT(EarningsRate,1,Components!$K171,0,-Components!AJ171*((1+InflationRate)^Components!$K171),0),AH171)</f>
        <v>2297.9132404070242</v>
      </c>
      <c r="AJ171" s="11">
        <f>IF(Components!AK171&gt;0,PPMT(EarningsRate,1,Components!$K171,0,-Components!AK171*((1+InflationRate)^Components!$K171),0),AI171)</f>
        <v>2297.9132404070242</v>
      </c>
      <c r="AK171" s="11">
        <f>IF(Components!AL171&gt;0,PPMT(EarningsRate,1,Components!$K171,0,-Components!AL171*((1+InflationRate)^Components!$K171),0),AJ171)</f>
        <v>2297.9132404070242</v>
      </c>
      <c r="AL171" s="11">
        <f>IF(Components!AM171&gt;0,PPMT(EarningsRate,1,Components!$K171,0,-Components!AM171*((1+InflationRate)^Components!$K171),0),AK171)</f>
        <v>2297.9132404070242</v>
      </c>
      <c r="AM171" s="11">
        <f>IF(Components!AN171&gt;0,PPMT(EarningsRate,1,Components!$K171,0,-Components!AN171*((1+InflationRate)^Components!$K171),0),AL171)</f>
        <v>2297.9132404070242</v>
      </c>
      <c r="AN171" s="11">
        <f>IF(Components!AO171&gt;0,PPMT(EarningsRate,1,Components!$K171,0,-Components!AO171*((1+InflationRate)^Components!$K171),0),AM171)</f>
        <v>2297.9132404070242</v>
      </c>
      <c r="AO171" s="11">
        <f>IF(Components!AP171&gt;0,PPMT(EarningsRate,1,Components!$K171,0,-Components!AP171*((1+InflationRate)^Components!$K171),0),AN171)</f>
        <v>2297.9132404070242</v>
      </c>
      <c r="AP171" s="214"/>
      <c r="AQ171" s="11">
        <f t="shared" si="3"/>
        <v>55232.464387093074</v>
      </c>
    </row>
    <row r="172" spans="1:43" s="1" customFormat="1">
      <c r="A172" s="220" t="str">
        <f>Components!B172</f>
        <v>Exterior</v>
      </c>
      <c r="B172" s="220" t="str">
        <f>Components!C172</f>
        <v>Fence, Garden, (vinyl)</v>
      </c>
      <c r="C172" s="211"/>
      <c r="D172" s="211"/>
      <c r="E172" s="211"/>
      <c r="F172" s="88"/>
      <c r="G172" s="212"/>
      <c r="H172" s="212"/>
      <c r="I172" s="212"/>
      <c r="J172" s="211"/>
      <c r="K172" s="11">
        <f>IF('FF Balance'!H172&gt;=0,PPMT(EarningsRate,1,Components!K172,0,-'FF Balance'!G172,0),0)</f>
        <v>2119.8176621236089</v>
      </c>
      <c r="L172" s="11">
        <f>IF(Components!M172&gt;0,PPMT(EarningsRate,1,Components!$K172,0,-Components!M172*((1+InflationRate)^Components!$K172),0),K172)</f>
        <v>2119.8176621236089</v>
      </c>
      <c r="M172" s="11">
        <f>IF(Components!N172&gt;0,PPMT(EarningsRate,1,Components!$K172,0,-Components!N172*((1+InflationRate)^Components!$K172),0),L172)</f>
        <v>2119.8176621236089</v>
      </c>
      <c r="N172" s="11">
        <f>IF(Components!O172&gt;0,PPMT(EarningsRate,1,Components!$K172,0,-Components!O172*((1+InflationRate)^Components!$K172),0),M172)</f>
        <v>2119.8176621236089</v>
      </c>
      <c r="O172" s="11">
        <f>IF(Components!P172&gt;0,PPMT(EarningsRate,1,Components!$K172,0,-Components!P172*((1+InflationRate)^Components!$K172),0),N172)</f>
        <v>2119.8176621236089</v>
      </c>
      <c r="P172" s="11">
        <f>IF(Components!Q172&gt;0,PPMT(EarningsRate,1,Components!$K172,0,-Components!Q172*((1+InflationRate)^Components!$K172),0),O172)</f>
        <v>2119.8176621236089</v>
      </c>
      <c r="Q172" s="11">
        <f>IF(Components!R172&gt;0,PPMT(EarningsRate,1,Components!$K172,0,-Components!R172*((1+InflationRate)^Components!$K172),0),P172)</f>
        <v>2119.8176621236089</v>
      </c>
      <c r="R172" s="11">
        <f>IF(Components!S172&gt;0,PPMT(EarningsRate,1,Components!$K172,0,-Components!S172*((1+InflationRate)^Components!$K172),0),Q172)</f>
        <v>2119.8176621236089</v>
      </c>
      <c r="S172" s="11">
        <f>IF(Components!T172&gt;0,PPMT(EarningsRate,1,Components!$K172,0,-Components!T172*((1+InflationRate)^Components!$K172),0),R172)</f>
        <v>2119.8176621236089</v>
      </c>
      <c r="T172" s="11">
        <f>IF(Components!U172&gt;0,PPMT(EarningsRate,1,Components!$K172,0,-Components!U172*((1+InflationRate)^Components!$K172),0),S172)</f>
        <v>2119.8176621236089</v>
      </c>
      <c r="U172" s="11">
        <f>IF(Components!V172&gt;0,PPMT(EarningsRate,1,Components!$K172,0,-Components!V172*((1+InflationRate)^Components!$K172),0),T172)</f>
        <v>2119.8176621236089</v>
      </c>
      <c r="V172" s="11">
        <f>IF(Components!W172&gt;0,PPMT(EarningsRate,1,Components!$K172,0,-Components!W172*((1+InflationRate)^Components!$K172),0),U172)</f>
        <v>2119.8176621236089</v>
      </c>
      <c r="W172" s="11">
        <f>IF(Components!X172&gt;0,PPMT(EarningsRate,1,Components!$K172,0,-Components!X172*((1+InflationRate)^Components!$K172),0),V172)</f>
        <v>2119.8176621236089</v>
      </c>
      <c r="X172" s="11">
        <f>IF(Components!Y172&gt;0,PPMT(EarningsRate,1,Components!$K172,0,-Components!Y172*((1+InflationRate)^Components!$K172),0),W172)</f>
        <v>2119.8176621236089</v>
      </c>
      <c r="Y172" s="11">
        <f>IF(Components!Z172&gt;0,PPMT(EarningsRate,1,Components!$K172,0,-Components!Z172*((1+InflationRate)^Components!$K172),0),X172)</f>
        <v>2119.8176621236089</v>
      </c>
      <c r="Z172" s="11">
        <f>IF(Components!AA172&gt;0,PPMT(EarningsRate,1,Components!$K172,0,-Components!AA172*((1+InflationRate)^Components!$K172),0),Y172)</f>
        <v>2119.8176621236089</v>
      </c>
      <c r="AA172" s="11">
        <f>IF(Components!AB172&gt;0,PPMT(EarningsRate,1,Components!$K172,0,-Components!AB172*((1+InflationRate)^Components!$K172),0),Z172)</f>
        <v>4217.9895766717564</v>
      </c>
      <c r="AB172" s="11">
        <f>IF(Components!AC172&gt;0,PPMT(EarningsRate,1,Components!$K172,0,-Components!AC172*((1+InflationRate)^Components!$K172),0),AA172)</f>
        <v>4217.9895766717564</v>
      </c>
      <c r="AC172" s="11">
        <f>IF(Components!AD172&gt;0,PPMT(EarningsRate,1,Components!$K172,0,-Components!AD172*((1+InflationRate)^Components!$K172),0),AB172)</f>
        <v>4217.9895766717564</v>
      </c>
      <c r="AD172" s="11">
        <f>IF(Components!AE172&gt;0,PPMT(EarningsRate,1,Components!$K172,0,-Components!AE172*((1+InflationRate)^Components!$K172),0),AC172)</f>
        <v>4217.9895766717564</v>
      </c>
      <c r="AE172" s="11">
        <f>IF(Components!AF172&gt;0,PPMT(EarningsRate,1,Components!$K172,0,-Components!AF172*((1+InflationRate)^Components!$K172),0),AD172)</f>
        <v>4217.9895766717564</v>
      </c>
      <c r="AF172" s="11">
        <f>IF(Components!AG172&gt;0,PPMT(EarningsRate,1,Components!$K172,0,-Components!AG172*((1+InflationRate)^Components!$K172),0),AE172)</f>
        <v>4217.9895766717564</v>
      </c>
      <c r="AG172" s="11">
        <f>IF(Components!AH172&gt;0,PPMT(EarningsRate,1,Components!$K172,0,-Components!AH172*((1+InflationRate)^Components!$K172),0),AF172)</f>
        <v>4217.9895766717564</v>
      </c>
      <c r="AH172" s="11">
        <f>IF(Components!AI172&gt;0,PPMT(EarningsRate,1,Components!$K172,0,-Components!AI172*((1+InflationRate)^Components!$K172),0),AG172)</f>
        <v>4217.9895766717564</v>
      </c>
      <c r="AI172" s="11">
        <f>IF(Components!AJ172&gt;0,PPMT(EarningsRate,1,Components!$K172,0,-Components!AJ172*((1+InflationRate)^Components!$K172),0),AH172)</f>
        <v>4217.9895766717564</v>
      </c>
      <c r="AJ172" s="11">
        <f>IF(Components!AK172&gt;0,PPMT(EarningsRate,1,Components!$K172,0,-Components!AK172*((1+InflationRate)^Components!$K172),0),AI172)</f>
        <v>4217.9895766717564</v>
      </c>
      <c r="AK172" s="11">
        <f>IF(Components!AL172&gt;0,PPMT(EarningsRate,1,Components!$K172,0,-Components!AL172*((1+InflationRate)^Components!$K172),0),AJ172)</f>
        <v>4217.9895766717564</v>
      </c>
      <c r="AL172" s="11">
        <f>IF(Components!AM172&gt;0,PPMT(EarningsRate,1,Components!$K172,0,-Components!AM172*((1+InflationRate)^Components!$K172),0),AK172)</f>
        <v>4217.9895766717564</v>
      </c>
      <c r="AM172" s="11">
        <f>IF(Components!AN172&gt;0,PPMT(EarningsRate,1,Components!$K172,0,-Components!AN172*((1+InflationRate)^Components!$K172),0),AL172)</f>
        <v>4217.9895766717564</v>
      </c>
      <c r="AN172" s="11">
        <f>IF(Components!AO172&gt;0,PPMT(EarningsRate,1,Components!$K172,0,-Components!AO172*((1+InflationRate)^Components!$K172),0),AM172)</f>
        <v>4217.9895766717564</v>
      </c>
      <c r="AO172" s="11">
        <f>IF(Components!AP172&gt;0,PPMT(EarningsRate,1,Components!$K172,0,-Components!AP172*((1+InflationRate)^Components!$K172),0),AN172)</f>
        <v>4217.9895766717564</v>
      </c>
      <c r="AP172" s="214"/>
      <c r="AQ172" s="11">
        <f t="shared" si="3"/>
        <v>97186.926344054038</v>
      </c>
    </row>
    <row r="173" spans="1:43" s="1" customFormat="1">
      <c r="A173" s="220" t="str">
        <f>Components!B173</f>
        <v>Exterior</v>
      </c>
      <c r="B173" s="220" t="str">
        <f>Components!C173</f>
        <v>RV Lot Fence</v>
      </c>
      <c r="C173" s="211"/>
      <c r="D173" s="211"/>
      <c r="E173" s="211"/>
      <c r="F173" s="88"/>
      <c r="G173" s="212"/>
      <c r="H173" s="212"/>
      <c r="I173" s="212"/>
      <c r="J173" s="211"/>
      <c r="K173" s="11">
        <f>IF('FF Balance'!H173&gt;=0,PPMT(EarningsRate,1,Components!K173,0,-'FF Balance'!G173,0),0)</f>
        <v>1260.2893043403783</v>
      </c>
      <c r="L173" s="11">
        <f>IF(Components!M173&gt;0,PPMT(EarningsRate,1,Components!$K173,0,-Components!M173*((1+InflationRate)^Components!$K173),0),K173)</f>
        <v>1260.2893043403783</v>
      </c>
      <c r="M173" s="11">
        <f>IF(Components!N173&gt;0,PPMT(EarningsRate,1,Components!$K173,0,-Components!N173*((1+InflationRate)^Components!$K173),0),L173)</f>
        <v>1260.2893043403783</v>
      </c>
      <c r="N173" s="11">
        <f>IF(Components!O173&gt;0,PPMT(EarningsRate,1,Components!$K173,0,-Components!O173*((1+InflationRate)^Components!$K173),0),M173)</f>
        <v>1260.2893043403783</v>
      </c>
      <c r="O173" s="11">
        <f>IF(Components!P173&gt;0,PPMT(EarningsRate,1,Components!$K173,0,-Components!P173*((1+InflationRate)^Components!$K173),0),N173)</f>
        <v>1260.2893043403783</v>
      </c>
      <c r="P173" s="11">
        <f>IF(Components!Q173&gt;0,PPMT(EarningsRate,1,Components!$K173,0,-Components!Q173*((1+InflationRate)^Components!$K173),0),O173)</f>
        <v>1260.2893043403783</v>
      </c>
      <c r="Q173" s="11">
        <f>IF(Components!R173&gt;0,PPMT(EarningsRate,1,Components!$K173,0,-Components!R173*((1+InflationRate)^Components!$K173),0),P173)</f>
        <v>1260.2893043403783</v>
      </c>
      <c r="R173" s="11">
        <f>IF(Components!S173&gt;0,PPMT(EarningsRate,1,Components!$K173,0,-Components!S173*((1+InflationRate)^Components!$K173),0),Q173)</f>
        <v>1260.2893043403783</v>
      </c>
      <c r="S173" s="11">
        <f>IF(Components!T173&gt;0,PPMT(EarningsRate,1,Components!$K173,0,-Components!T173*((1+InflationRate)^Components!$K173),0),R173)</f>
        <v>2978.372377207796</v>
      </c>
      <c r="T173" s="11">
        <f>IF(Components!U173&gt;0,PPMT(EarningsRate,1,Components!$K173,0,-Components!U173*((1+InflationRate)^Components!$K173),0),S173)</f>
        <v>2978.372377207796</v>
      </c>
      <c r="U173" s="11">
        <f>IF(Components!V173&gt;0,PPMT(EarningsRate,1,Components!$K173,0,-Components!V173*((1+InflationRate)^Components!$K173),0),T173)</f>
        <v>2978.372377207796</v>
      </c>
      <c r="V173" s="11">
        <f>IF(Components!W173&gt;0,PPMT(EarningsRate,1,Components!$K173,0,-Components!W173*((1+InflationRate)^Components!$K173),0),U173)</f>
        <v>2978.372377207796</v>
      </c>
      <c r="W173" s="11">
        <f>IF(Components!X173&gt;0,PPMT(EarningsRate,1,Components!$K173,0,-Components!X173*((1+InflationRate)^Components!$K173),0),V173)</f>
        <v>2978.372377207796</v>
      </c>
      <c r="X173" s="11">
        <f>IF(Components!Y173&gt;0,PPMT(EarningsRate,1,Components!$K173,0,-Components!Y173*((1+InflationRate)^Components!$K173),0),W173)</f>
        <v>2978.372377207796</v>
      </c>
      <c r="Y173" s="11">
        <f>IF(Components!Z173&gt;0,PPMT(EarningsRate,1,Components!$K173,0,-Components!Z173*((1+InflationRate)^Components!$K173),0),X173)</f>
        <v>2978.372377207796</v>
      </c>
      <c r="Z173" s="11">
        <f>IF(Components!AA173&gt;0,PPMT(EarningsRate,1,Components!$K173,0,-Components!AA173*((1+InflationRate)^Components!$K173),0),Y173)</f>
        <v>2978.372377207796</v>
      </c>
      <c r="AA173" s="11">
        <f>IF(Components!AB173&gt;0,PPMT(EarningsRate,1,Components!$K173,0,-Components!AB173*((1+InflationRate)^Components!$K173),0),Z173)</f>
        <v>2978.372377207796</v>
      </c>
      <c r="AB173" s="11">
        <f>IF(Components!AC173&gt;0,PPMT(EarningsRate,1,Components!$K173,0,-Components!AC173*((1+InflationRate)^Components!$K173),0),AA173)</f>
        <v>2978.372377207796</v>
      </c>
      <c r="AC173" s="11">
        <f>IF(Components!AD173&gt;0,PPMT(EarningsRate,1,Components!$K173,0,-Components!AD173*((1+InflationRate)^Components!$K173),0),AB173)</f>
        <v>2978.372377207796</v>
      </c>
      <c r="AD173" s="11">
        <f>IF(Components!AE173&gt;0,PPMT(EarningsRate,1,Components!$K173,0,-Components!AE173*((1+InflationRate)^Components!$K173),0),AC173)</f>
        <v>2978.372377207796</v>
      </c>
      <c r="AE173" s="11">
        <f>IF(Components!AF173&gt;0,PPMT(EarningsRate,1,Components!$K173,0,-Components!AF173*((1+InflationRate)^Components!$K173),0),AD173)</f>
        <v>2978.372377207796</v>
      </c>
      <c r="AF173" s="11">
        <f>IF(Components!AG173&gt;0,PPMT(EarningsRate,1,Components!$K173,0,-Components!AG173*((1+InflationRate)^Components!$K173),0),AE173)</f>
        <v>2978.372377207796</v>
      </c>
      <c r="AG173" s="11">
        <f>IF(Components!AH173&gt;0,PPMT(EarningsRate,1,Components!$K173,0,-Components!AH173*((1+InflationRate)^Components!$K173),0),AF173)</f>
        <v>2978.372377207796</v>
      </c>
      <c r="AH173" s="11">
        <f>IF(Components!AI173&gt;0,PPMT(EarningsRate,1,Components!$K173,0,-Components!AI173*((1+InflationRate)^Components!$K173),0),AG173)</f>
        <v>2978.372377207796</v>
      </c>
      <c r="AI173" s="11">
        <f>IF(Components!AJ173&gt;0,PPMT(EarningsRate,1,Components!$K173,0,-Components!AJ173*((1+InflationRate)^Components!$K173),0),AH173)</f>
        <v>2978.372377207796</v>
      </c>
      <c r="AJ173" s="11">
        <f>IF(Components!AK173&gt;0,PPMT(EarningsRate,1,Components!$K173,0,-Components!AK173*((1+InflationRate)^Components!$K173),0),AI173)</f>
        <v>2978.372377207796</v>
      </c>
      <c r="AK173" s="11">
        <f>IF(Components!AL173&gt;0,PPMT(EarningsRate,1,Components!$K173,0,-Components!AL173*((1+InflationRate)^Components!$K173),0),AJ173)</f>
        <v>2978.372377207796</v>
      </c>
      <c r="AL173" s="11">
        <f>IF(Components!AM173&gt;0,PPMT(EarningsRate,1,Components!$K173,0,-Components!AM173*((1+InflationRate)^Components!$K173),0),AK173)</f>
        <v>2978.372377207796</v>
      </c>
      <c r="AM173" s="11">
        <f>IF(Components!AN173&gt;0,PPMT(EarningsRate,1,Components!$K173,0,-Components!AN173*((1+InflationRate)^Components!$K173),0),AL173)</f>
        <v>2978.372377207796</v>
      </c>
      <c r="AN173" s="11">
        <f>IF(Components!AO173&gt;0,PPMT(EarningsRate,1,Components!$K173,0,-Components!AO173*((1+InflationRate)^Components!$K173),0),AM173)</f>
        <v>2978.372377207796</v>
      </c>
      <c r="AO173" s="11">
        <f>IF(Components!AP173&gt;0,PPMT(EarningsRate,1,Components!$K173,0,-Components!AP173*((1+InflationRate)^Components!$K173),0),AN173)</f>
        <v>2978.372377207796</v>
      </c>
      <c r="AP173" s="214"/>
      <c r="AQ173" s="11">
        <f t="shared" si="3"/>
        <v>78584.879210502317</v>
      </c>
    </row>
    <row r="174" spans="1:43" s="1" customFormat="1">
      <c r="A174" s="220" t="str">
        <f>Components!B174</f>
        <v>Exterior</v>
      </c>
      <c r="B174" s="220" t="str">
        <f>Components!C174</f>
        <v>Tennis Court resurface</v>
      </c>
      <c r="C174" s="211"/>
      <c r="D174" s="211"/>
      <c r="E174" s="211"/>
      <c r="F174" s="88"/>
      <c r="G174" s="212"/>
      <c r="H174" s="212"/>
      <c r="I174" s="212"/>
      <c r="J174" s="211"/>
      <c r="K174" s="11">
        <f>IF('FF Balance'!H174&gt;=0,PPMT(EarningsRate,1,Components!K174,0,-'FF Balance'!G174,0),0)</f>
        <v>1998.0599253807486</v>
      </c>
      <c r="L174" s="11">
        <f>IF(Components!M174&gt;0,PPMT(EarningsRate,1,Components!$K174,0,-Components!M174*((1+InflationRate)^Components!$K174),0),K174)</f>
        <v>1998.0599253807486</v>
      </c>
      <c r="M174" s="11">
        <f>IF(Components!N174&gt;0,PPMT(EarningsRate,1,Components!$K174,0,-Components!N174*((1+InflationRate)^Components!$K174),0),L174)</f>
        <v>1998.0599253807486</v>
      </c>
      <c r="N174" s="11">
        <f>IF(Components!O174&gt;0,PPMT(EarningsRate,1,Components!$K174,0,-Components!O174*((1+InflationRate)^Components!$K174),0),M174)</f>
        <v>1998.0599253807486</v>
      </c>
      <c r="O174" s="11">
        <f>IF(Components!P174&gt;0,PPMT(EarningsRate,1,Components!$K174,0,-Components!P174*((1+InflationRate)^Components!$K174),0),N174)</f>
        <v>1998.0599253807486</v>
      </c>
      <c r="P174" s="11">
        <f>IF(Components!Q174&gt;0,PPMT(EarningsRate,1,Components!$K174,0,-Components!Q174*((1+InflationRate)^Components!$K174),0),O174)</f>
        <v>1998.0599253807486</v>
      </c>
      <c r="Q174" s="11">
        <f>IF(Components!R174&gt;0,PPMT(EarningsRate,1,Components!$K174,0,-Components!R174*((1+InflationRate)^Components!$K174),0),P174)</f>
        <v>2631.0633661357924</v>
      </c>
      <c r="R174" s="11">
        <f>IF(Components!S174&gt;0,PPMT(EarningsRate,1,Components!$K174,0,-Components!S174*((1+InflationRate)^Components!$K174),0),Q174)</f>
        <v>2631.0633661357924</v>
      </c>
      <c r="S174" s="11">
        <f>IF(Components!T174&gt;0,PPMT(EarningsRate,1,Components!$K174,0,-Components!T174*((1+InflationRate)^Components!$K174),0),R174)</f>
        <v>2631.0633661357924</v>
      </c>
      <c r="T174" s="11">
        <f>IF(Components!U174&gt;0,PPMT(EarningsRate,1,Components!$K174,0,-Components!U174*((1+InflationRate)^Components!$K174),0),S174)</f>
        <v>2631.0633661357924</v>
      </c>
      <c r="U174" s="11">
        <f>IF(Components!V174&gt;0,PPMT(EarningsRate,1,Components!$K174,0,-Components!V174*((1+InflationRate)^Components!$K174),0),T174)</f>
        <v>2631.0633661357924</v>
      </c>
      <c r="V174" s="11">
        <f>IF(Components!W174&gt;0,PPMT(EarningsRate,1,Components!$K174,0,-Components!W174*((1+InflationRate)^Components!$K174),0),U174)</f>
        <v>2631.0633661357924</v>
      </c>
      <c r="W174" s="11">
        <f>IF(Components!X174&gt;0,PPMT(EarningsRate,1,Components!$K174,0,-Components!X174*((1+InflationRate)^Components!$K174),0),V174)</f>
        <v>2631.0633661357924</v>
      </c>
      <c r="X174" s="11">
        <f>IF(Components!Y174&gt;0,PPMT(EarningsRate,1,Components!$K174,0,-Components!Y174*((1+InflationRate)^Components!$K174),0),W174)</f>
        <v>2631.0633661357924</v>
      </c>
      <c r="Y174" s="11">
        <f>IF(Components!Z174&gt;0,PPMT(EarningsRate,1,Components!$K174,0,-Components!Z174*((1+InflationRate)^Components!$K174),0),X174)</f>
        <v>3464.5646718982757</v>
      </c>
      <c r="Z174" s="11">
        <f>IF(Components!AA174&gt;0,PPMT(EarningsRate,1,Components!$K174,0,-Components!AA174*((1+InflationRate)^Components!$K174),0),Y174)</f>
        <v>3464.5646718982757</v>
      </c>
      <c r="AA174" s="11">
        <f>IF(Components!AB174&gt;0,PPMT(EarningsRate,1,Components!$K174,0,-Components!AB174*((1+InflationRate)^Components!$K174),0),Z174)</f>
        <v>3464.5646718982757</v>
      </c>
      <c r="AB174" s="11">
        <f>IF(Components!AC174&gt;0,PPMT(EarningsRate,1,Components!$K174,0,-Components!AC174*((1+InflationRate)^Components!$K174),0),AA174)</f>
        <v>3464.5646718982757</v>
      </c>
      <c r="AC174" s="11">
        <f>IF(Components!AD174&gt;0,PPMT(EarningsRate,1,Components!$K174,0,-Components!AD174*((1+InflationRate)^Components!$K174),0),AB174)</f>
        <v>3464.5646718982757</v>
      </c>
      <c r="AD174" s="11">
        <f>IF(Components!AE174&gt;0,PPMT(EarningsRate,1,Components!$K174,0,-Components!AE174*((1+InflationRate)^Components!$K174),0),AC174)</f>
        <v>3464.5646718982757</v>
      </c>
      <c r="AE174" s="11">
        <f>IF(Components!AF174&gt;0,PPMT(EarningsRate,1,Components!$K174,0,-Components!AF174*((1+InflationRate)^Components!$K174),0),AD174)</f>
        <v>3464.5646718982757</v>
      </c>
      <c r="AF174" s="11">
        <f>IF(Components!AG174&gt;0,PPMT(EarningsRate,1,Components!$K174,0,-Components!AG174*((1+InflationRate)^Components!$K174),0),AE174)</f>
        <v>3464.5646718982757</v>
      </c>
      <c r="AG174" s="11">
        <f>IF(Components!AH174&gt;0,PPMT(EarningsRate,1,Components!$K174,0,-Components!AH174*((1+InflationRate)^Components!$K174),0),AF174)</f>
        <v>4562.0895937744444</v>
      </c>
      <c r="AH174" s="11">
        <f>IF(Components!AI174&gt;0,PPMT(EarningsRate,1,Components!$K174,0,-Components!AI174*((1+InflationRate)^Components!$K174),0),AG174)</f>
        <v>4562.0895937744444</v>
      </c>
      <c r="AI174" s="11">
        <f>IF(Components!AJ174&gt;0,PPMT(EarningsRate,1,Components!$K174,0,-Components!AJ174*((1+InflationRate)^Components!$K174),0),AH174)</f>
        <v>4562.0895937744444</v>
      </c>
      <c r="AJ174" s="11">
        <f>IF(Components!AK174&gt;0,PPMT(EarningsRate,1,Components!$K174,0,-Components!AK174*((1+InflationRate)^Components!$K174),0),AI174)</f>
        <v>4562.0895937744444</v>
      </c>
      <c r="AK174" s="11">
        <f>IF(Components!AL174&gt;0,PPMT(EarningsRate,1,Components!$K174,0,-Components!AL174*((1+InflationRate)^Components!$K174),0),AJ174)</f>
        <v>4562.0895937744444</v>
      </c>
      <c r="AL174" s="11">
        <f>IF(Components!AM174&gt;0,PPMT(EarningsRate,1,Components!$K174,0,-Components!AM174*((1+InflationRate)^Components!$K174),0),AK174)</f>
        <v>4562.0895937744444</v>
      </c>
      <c r="AM174" s="11">
        <f>IF(Components!AN174&gt;0,PPMT(EarningsRate,1,Components!$K174,0,-Components!AN174*((1+InflationRate)^Components!$K174),0),AL174)</f>
        <v>4562.0895937744444</v>
      </c>
      <c r="AN174" s="11">
        <f>IF(Components!AO174&gt;0,PPMT(EarningsRate,1,Components!$K174,0,-Components!AO174*((1+InflationRate)^Components!$K174),0),AM174)</f>
        <v>4562.0895937744444</v>
      </c>
      <c r="AO174" s="11">
        <f>IF(Components!AP174&gt;0,PPMT(EarningsRate,1,Components!$K174,0,-Components!AP174*((1+InflationRate)^Components!$K174),0),AN174)</f>
        <v>6007.4163261072608</v>
      </c>
      <c r="AP174" s="214"/>
      <c r="AQ174" s="11">
        <f t="shared" si="3"/>
        <v>103257.51703285991</v>
      </c>
    </row>
    <row r="175" spans="1:43" s="1" customFormat="1">
      <c r="A175" s="220" t="str">
        <f>Components!B175</f>
        <v>Maintenance Bldg</v>
      </c>
      <c r="B175" s="220" t="str">
        <f>Components!C175</f>
        <v>Fence, Shop, (vinyl)</v>
      </c>
      <c r="C175" s="211"/>
      <c r="D175" s="211"/>
      <c r="E175" s="211"/>
      <c r="F175" s="88"/>
      <c r="G175" s="212"/>
      <c r="H175" s="212"/>
      <c r="I175" s="212"/>
      <c r="J175" s="211"/>
      <c r="K175" s="11">
        <f>IF('FF Balance'!H175&gt;=0,PPMT(EarningsRate,1,Components!K175,0,-'FF Balance'!G175,0),0)</f>
        <v>2498.5340773282687</v>
      </c>
      <c r="L175" s="11">
        <f>IF(Components!M175&gt;0,PPMT(EarningsRate,1,Components!$K175,0,-Components!M175*((1+InflationRate)^Components!$K175),0),K175)</f>
        <v>2498.5340773282687</v>
      </c>
      <c r="M175" s="11">
        <f>IF(Components!N175&gt;0,PPMT(EarningsRate,1,Components!$K175,0,-Components!N175*((1+InflationRate)^Components!$K175),0),L175)</f>
        <v>2498.5340773282687</v>
      </c>
      <c r="N175" s="11">
        <f>IF(Components!O175&gt;0,PPMT(EarningsRate,1,Components!$K175,0,-Components!O175*((1+InflationRate)^Components!$K175),0),M175)</f>
        <v>2498.5340773282687</v>
      </c>
      <c r="O175" s="11">
        <f>IF(Components!P175&gt;0,PPMT(EarningsRate,1,Components!$K175,0,-Components!P175*((1+InflationRate)^Components!$K175),0),N175)</f>
        <v>2498.5340773282687</v>
      </c>
      <c r="P175" s="11">
        <f>IF(Components!Q175&gt;0,PPMT(EarningsRate,1,Components!$K175,0,-Components!Q175*((1+InflationRate)^Components!$K175),0),O175)</f>
        <v>2498.5340773282687</v>
      </c>
      <c r="Q175" s="11">
        <f>IF(Components!R175&gt;0,PPMT(EarningsRate,1,Components!$K175,0,-Components!R175*((1+InflationRate)^Components!$K175),0),P175)</f>
        <v>2498.5340773282687</v>
      </c>
      <c r="R175" s="11">
        <f>IF(Components!S175&gt;0,PPMT(EarningsRate,1,Components!$K175,0,-Components!S175*((1+InflationRate)^Components!$K175),0),Q175)</f>
        <v>2498.5340773282687</v>
      </c>
      <c r="S175" s="11">
        <f>IF(Components!T175&gt;0,PPMT(EarningsRate,1,Components!$K175,0,-Components!T175*((1+InflationRate)^Components!$K175),0),R175)</f>
        <v>2498.5340773282687</v>
      </c>
      <c r="T175" s="11">
        <f>IF(Components!U175&gt;0,PPMT(EarningsRate,1,Components!$K175,0,-Components!U175*((1+InflationRate)^Components!$K175),0),S175)</f>
        <v>2498.5340773282687</v>
      </c>
      <c r="U175" s="11">
        <f>IF(Components!V175&gt;0,PPMT(EarningsRate,1,Components!$K175,0,-Components!V175*((1+InflationRate)^Components!$K175),0),T175)</f>
        <v>2498.5340773282687</v>
      </c>
      <c r="V175" s="11">
        <f>IF(Components!W175&gt;0,PPMT(EarningsRate,1,Components!$K175,0,-Components!W175*((1+InflationRate)^Components!$K175),0),U175)</f>
        <v>4971.5552820576931</v>
      </c>
      <c r="W175" s="11">
        <f>IF(Components!X175&gt;0,PPMT(EarningsRate,1,Components!$K175,0,-Components!X175*((1+InflationRate)^Components!$K175),0),V175)</f>
        <v>4971.5552820576931</v>
      </c>
      <c r="X175" s="11">
        <f>IF(Components!Y175&gt;0,PPMT(EarningsRate,1,Components!$K175,0,-Components!Y175*((1+InflationRate)^Components!$K175),0),W175)</f>
        <v>4971.5552820576931</v>
      </c>
      <c r="Y175" s="11">
        <f>IF(Components!Z175&gt;0,PPMT(EarningsRate,1,Components!$K175,0,-Components!Z175*((1+InflationRate)^Components!$K175),0),X175)</f>
        <v>4971.5552820576931</v>
      </c>
      <c r="Z175" s="11">
        <f>IF(Components!AA175&gt;0,PPMT(EarningsRate,1,Components!$K175,0,-Components!AA175*((1+InflationRate)^Components!$K175),0),Y175)</f>
        <v>4971.5552820576931</v>
      </c>
      <c r="AA175" s="11">
        <f>IF(Components!AB175&gt;0,PPMT(EarningsRate,1,Components!$K175,0,-Components!AB175*((1+InflationRate)^Components!$K175),0),Z175)</f>
        <v>4971.5552820576931</v>
      </c>
      <c r="AB175" s="11">
        <f>IF(Components!AC175&gt;0,PPMT(EarningsRate,1,Components!$K175,0,-Components!AC175*((1+InflationRate)^Components!$K175),0),AA175)</f>
        <v>4971.5552820576931</v>
      </c>
      <c r="AC175" s="11">
        <f>IF(Components!AD175&gt;0,PPMT(EarningsRate,1,Components!$K175,0,-Components!AD175*((1+InflationRate)^Components!$K175),0),AB175)</f>
        <v>4971.5552820576931</v>
      </c>
      <c r="AD175" s="11">
        <f>IF(Components!AE175&gt;0,PPMT(EarningsRate,1,Components!$K175,0,-Components!AE175*((1+InflationRate)^Components!$K175),0),AC175)</f>
        <v>4971.5552820576931</v>
      </c>
      <c r="AE175" s="11">
        <f>IF(Components!AF175&gt;0,PPMT(EarningsRate,1,Components!$K175,0,-Components!AF175*((1+InflationRate)^Components!$K175),0),AD175)</f>
        <v>4971.5552820576931</v>
      </c>
      <c r="AF175" s="11">
        <f>IF(Components!AG175&gt;0,PPMT(EarningsRate,1,Components!$K175,0,-Components!AG175*((1+InflationRate)^Components!$K175),0),AE175)</f>
        <v>4971.5552820576931</v>
      </c>
      <c r="AG175" s="11">
        <f>IF(Components!AH175&gt;0,PPMT(EarningsRate,1,Components!$K175,0,-Components!AH175*((1+InflationRate)^Components!$K175),0),AF175)</f>
        <v>4971.5552820576931</v>
      </c>
      <c r="AH175" s="11">
        <f>IF(Components!AI175&gt;0,PPMT(EarningsRate,1,Components!$K175,0,-Components!AI175*((1+InflationRate)^Components!$K175),0),AG175)</f>
        <v>4971.5552820576931</v>
      </c>
      <c r="AI175" s="11">
        <f>IF(Components!AJ175&gt;0,PPMT(EarningsRate,1,Components!$K175,0,-Components!AJ175*((1+InflationRate)^Components!$K175),0),AH175)</f>
        <v>4971.5552820576931</v>
      </c>
      <c r="AJ175" s="11">
        <f>IF(Components!AK175&gt;0,PPMT(EarningsRate,1,Components!$K175,0,-Components!AK175*((1+InflationRate)^Components!$K175),0),AI175)</f>
        <v>4971.5552820576931</v>
      </c>
      <c r="AK175" s="11">
        <f>IF(Components!AL175&gt;0,PPMT(EarningsRate,1,Components!$K175,0,-Components!AL175*((1+InflationRate)^Components!$K175),0),AJ175)</f>
        <v>4971.5552820576931</v>
      </c>
      <c r="AL175" s="11">
        <f>IF(Components!AM175&gt;0,PPMT(EarningsRate,1,Components!$K175,0,-Components!AM175*((1+InflationRate)^Components!$K175),0),AK175)</f>
        <v>4971.5552820576931</v>
      </c>
      <c r="AM175" s="11">
        <f>IF(Components!AN175&gt;0,PPMT(EarningsRate,1,Components!$K175,0,-Components!AN175*((1+InflationRate)^Components!$K175),0),AL175)</f>
        <v>4971.5552820576931</v>
      </c>
      <c r="AN175" s="11">
        <f>IF(Components!AO175&gt;0,PPMT(EarningsRate,1,Components!$K175,0,-Components!AO175*((1+InflationRate)^Components!$K175),0),AM175)</f>
        <v>4971.5552820576931</v>
      </c>
      <c r="AO175" s="11">
        <f>IF(Components!AP175&gt;0,PPMT(EarningsRate,1,Components!$K175,0,-Components!AP175*((1+InflationRate)^Components!$K175),0),AN175)</f>
        <v>4971.5552820576931</v>
      </c>
      <c r="AP175" s="214"/>
      <c r="AQ175" s="11">
        <f t="shared" si="3"/>
        <v>126914.98059176491</v>
      </c>
    </row>
    <row r="176" spans="1:43" s="1" customFormat="1">
      <c r="A176" s="220" t="str">
        <f>Components!B176</f>
        <v>Maintenance Bldg</v>
      </c>
      <c r="B176" s="220" t="str">
        <f>Components!C176</f>
        <v>Fire alarm system - Shop</v>
      </c>
      <c r="C176" s="211"/>
      <c r="D176" s="211"/>
      <c r="E176" s="211"/>
      <c r="F176" s="88"/>
      <c r="G176" s="212"/>
      <c r="H176" s="212"/>
      <c r="I176" s="212"/>
      <c r="J176" s="211"/>
      <c r="K176" s="11">
        <f>IF('FF Balance'!H176&gt;=0,PPMT(EarningsRate,1,Components!K176,0,-'FF Balance'!G176,0),0)</f>
        <v>1486.8331566851025</v>
      </c>
      <c r="L176" s="11">
        <f>IF(Components!M176&gt;0,PPMT(EarningsRate,1,Components!$K176,0,-Components!M176*((1+InflationRate)^Components!$K176),0),K176)</f>
        <v>1486.8331566851025</v>
      </c>
      <c r="M176" s="11">
        <f>IF(Components!N176&gt;0,PPMT(EarningsRate,1,Components!$K176,0,-Components!N176*((1+InflationRate)^Components!$K176),0),L176)</f>
        <v>1486.8331566851025</v>
      </c>
      <c r="N176" s="11">
        <f>IF(Components!O176&gt;0,PPMT(EarningsRate,1,Components!$K176,0,-Components!O176*((1+InflationRate)^Components!$K176),0),M176)</f>
        <v>1486.8331566851025</v>
      </c>
      <c r="O176" s="11">
        <f>IF(Components!P176&gt;0,PPMT(EarningsRate,1,Components!$K176,0,-Components!P176*((1+InflationRate)^Components!$K176),0),N176)</f>
        <v>1486.8331566851025</v>
      </c>
      <c r="P176" s="11">
        <f>IF(Components!Q176&gt;0,PPMT(EarningsRate,1,Components!$K176,0,-Components!Q176*((1+InflationRate)^Components!$K176),0),O176)</f>
        <v>1486.8331566851025</v>
      </c>
      <c r="Q176" s="11">
        <f>IF(Components!R176&gt;0,PPMT(EarningsRate,1,Components!$K176,0,-Components!R176*((1+InflationRate)^Components!$K176),0),P176)</f>
        <v>1486.8331566851025</v>
      </c>
      <c r="R176" s="11">
        <f>IF(Components!S176&gt;0,PPMT(EarningsRate,1,Components!$K176,0,-Components!S176*((1+InflationRate)^Components!$K176),0),Q176)</f>
        <v>1486.8331566851025</v>
      </c>
      <c r="S176" s="11">
        <f>IF(Components!T176&gt;0,PPMT(EarningsRate,1,Components!$K176,0,-Components!T176*((1+InflationRate)^Components!$K176),0),R176)</f>
        <v>1486.8331566851025</v>
      </c>
      <c r="T176" s="11">
        <f>IF(Components!U176&gt;0,PPMT(EarningsRate,1,Components!$K176,0,-Components!U176*((1+InflationRate)^Components!$K176),0),S176)</f>
        <v>1486.8331566851025</v>
      </c>
      <c r="U176" s="11">
        <f>IF(Components!V176&gt;0,PPMT(EarningsRate,1,Components!$K176,0,-Components!V176*((1+InflationRate)^Components!$K176),0),T176)</f>
        <v>1486.8331566851025</v>
      </c>
      <c r="V176" s="11">
        <f>IF(Components!W176&gt;0,PPMT(EarningsRate,1,Components!$K176,0,-Components!W176*((1+InflationRate)^Components!$K176),0),U176)</f>
        <v>1486.8331566851025</v>
      </c>
      <c r="W176" s="11">
        <f>IF(Components!X176&gt;0,PPMT(EarningsRate,1,Components!$K176,0,-Components!X176*((1+InflationRate)^Components!$K176),0),V176)</f>
        <v>1486.8331566851025</v>
      </c>
      <c r="X176" s="11">
        <f>IF(Components!Y176&gt;0,PPMT(EarningsRate,1,Components!$K176,0,-Components!Y176*((1+InflationRate)^Components!$K176),0),W176)</f>
        <v>1486.8331566851025</v>
      </c>
      <c r="Y176" s="11">
        <f>IF(Components!Z176&gt;0,PPMT(EarningsRate,1,Components!$K176,0,-Components!Z176*((1+InflationRate)^Components!$K176),0),X176)</f>
        <v>2490.9641905759281</v>
      </c>
      <c r="Z176" s="11">
        <f>IF(Components!AA176&gt;0,PPMT(EarningsRate,1,Components!$K176,0,-Components!AA176*((1+InflationRate)^Components!$K176),0),Y176)</f>
        <v>2490.9641905759281</v>
      </c>
      <c r="AA176" s="11">
        <f>IF(Components!AB176&gt;0,PPMT(EarningsRate,1,Components!$K176,0,-Components!AB176*((1+InflationRate)^Components!$K176),0),Z176)</f>
        <v>2490.9641905759281</v>
      </c>
      <c r="AB176" s="11">
        <f>IF(Components!AC176&gt;0,PPMT(EarningsRate,1,Components!$K176,0,-Components!AC176*((1+InflationRate)^Components!$K176),0),AA176)</f>
        <v>2490.9641905759281</v>
      </c>
      <c r="AC176" s="11">
        <f>IF(Components!AD176&gt;0,PPMT(EarningsRate,1,Components!$K176,0,-Components!AD176*((1+InflationRate)^Components!$K176),0),AB176)</f>
        <v>2490.9641905759281</v>
      </c>
      <c r="AD176" s="11">
        <f>IF(Components!AE176&gt;0,PPMT(EarningsRate,1,Components!$K176,0,-Components!AE176*((1+InflationRate)^Components!$K176),0),AC176)</f>
        <v>2490.9641905759281</v>
      </c>
      <c r="AE176" s="11">
        <f>IF(Components!AF176&gt;0,PPMT(EarningsRate,1,Components!$K176,0,-Components!AF176*((1+InflationRate)^Components!$K176),0),AD176)</f>
        <v>2490.9641905759281</v>
      </c>
      <c r="AF176" s="11">
        <f>IF(Components!AG176&gt;0,PPMT(EarningsRate,1,Components!$K176,0,-Components!AG176*((1+InflationRate)^Components!$K176),0),AE176)</f>
        <v>2490.9641905759281</v>
      </c>
      <c r="AG176" s="11">
        <f>IF(Components!AH176&gt;0,PPMT(EarningsRate,1,Components!$K176,0,-Components!AH176*((1+InflationRate)^Components!$K176),0),AF176)</f>
        <v>2490.9641905759281</v>
      </c>
      <c r="AH176" s="11">
        <f>IF(Components!AI176&gt;0,PPMT(EarningsRate,1,Components!$K176,0,-Components!AI176*((1+InflationRate)^Components!$K176),0),AG176)</f>
        <v>2490.9641905759281</v>
      </c>
      <c r="AI176" s="11">
        <f>IF(Components!AJ176&gt;0,PPMT(EarningsRate,1,Components!$K176,0,-Components!AJ176*((1+InflationRate)^Components!$K176),0),AH176)</f>
        <v>2490.9641905759281</v>
      </c>
      <c r="AJ176" s="11">
        <f>IF(Components!AK176&gt;0,PPMT(EarningsRate,1,Components!$K176,0,-Components!AK176*((1+InflationRate)^Components!$K176),0),AI176)</f>
        <v>2490.9641905759281</v>
      </c>
      <c r="AK176" s="11">
        <f>IF(Components!AL176&gt;0,PPMT(EarningsRate,1,Components!$K176,0,-Components!AL176*((1+InflationRate)^Components!$K176),0),AJ176)</f>
        <v>2490.9641905759281</v>
      </c>
      <c r="AL176" s="11">
        <f>IF(Components!AM176&gt;0,PPMT(EarningsRate,1,Components!$K176,0,-Components!AM176*((1+InflationRate)^Components!$K176),0),AK176)</f>
        <v>2490.9641905759281</v>
      </c>
      <c r="AM176" s="11">
        <f>IF(Components!AN176&gt;0,PPMT(EarningsRate,1,Components!$K176,0,-Components!AN176*((1+InflationRate)^Components!$K176),0),AL176)</f>
        <v>2490.9641905759281</v>
      </c>
      <c r="AN176" s="11">
        <f>IF(Components!AO176&gt;0,PPMT(EarningsRate,1,Components!$K176,0,-Components!AO176*((1+InflationRate)^Components!$K176),0),AM176)</f>
        <v>4173.2474701374394</v>
      </c>
      <c r="AO176" s="11">
        <f>IF(Components!AP176&gt;0,PPMT(EarningsRate,1,Components!$K176,0,-Components!AP176*((1+InflationRate)^Components!$K176),0),AN176)</f>
        <v>4173.2474701374394</v>
      </c>
      <c r="AP176" s="214"/>
      <c r="AQ176" s="11">
        <f t="shared" si="3"/>
        <v>66526.622092505233</v>
      </c>
    </row>
    <row r="177" spans="1:43" s="1" customFormat="1">
      <c r="A177" s="220" t="str">
        <f>Components!B177</f>
        <v>Maintenance Bldg</v>
      </c>
      <c r="B177" s="220" t="str">
        <f>Components!C177</f>
        <v xml:space="preserve">Furnace &amp; AC Unit </v>
      </c>
      <c r="C177" s="211"/>
      <c r="D177" s="211"/>
      <c r="E177" s="211"/>
      <c r="F177" s="88"/>
      <c r="G177" s="212"/>
      <c r="H177" s="212"/>
      <c r="I177" s="212"/>
      <c r="J177" s="211"/>
      <c r="K177" s="11">
        <f>IF('FF Balance'!H177&gt;=0,PPMT(EarningsRate,1,Components!K177,0,-'FF Balance'!G177,0),0)</f>
        <v>1100.1324575912722</v>
      </c>
      <c r="L177" s="11">
        <f>IF(Components!M177&gt;0,PPMT(EarningsRate,1,Components!$K177,0,-Components!M177*((1+InflationRate)^Components!$K177),0),K177)</f>
        <v>1100.1324575912722</v>
      </c>
      <c r="M177" s="11">
        <f>IF(Components!N177&gt;0,PPMT(EarningsRate,1,Components!$K177,0,-Components!N177*((1+InflationRate)^Components!$K177),0),L177)</f>
        <v>1100.1324575912722</v>
      </c>
      <c r="N177" s="11">
        <f>IF(Components!O177&gt;0,PPMT(EarningsRate,1,Components!$K177,0,-Components!O177*((1+InflationRate)^Components!$K177),0),M177)</f>
        <v>1100.1324575912722</v>
      </c>
      <c r="O177" s="11">
        <f>IF(Components!P177&gt;0,PPMT(EarningsRate,1,Components!$K177,0,-Components!P177*((1+InflationRate)^Components!$K177),0),N177)</f>
        <v>1100.1324575912722</v>
      </c>
      <c r="P177" s="11">
        <f>IF(Components!Q177&gt;0,PPMT(EarningsRate,1,Components!$K177,0,-Components!Q177*((1+InflationRate)^Components!$K177),0),O177)</f>
        <v>1100.1324575912722</v>
      </c>
      <c r="Q177" s="11">
        <f>IF(Components!R177&gt;0,PPMT(EarningsRate,1,Components!$K177,0,-Components!R177*((1+InflationRate)^Components!$K177),0),P177)</f>
        <v>1100.1324575912722</v>
      </c>
      <c r="R177" s="11">
        <f>IF(Components!S177&gt;0,PPMT(EarningsRate,1,Components!$K177,0,-Components!S177*((1+InflationRate)^Components!$K177),0),Q177)</f>
        <v>1100.1324575912722</v>
      </c>
      <c r="S177" s="11">
        <f>IF(Components!T177&gt;0,PPMT(EarningsRate,1,Components!$K177,0,-Components!T177*((1+InflationRate)^Components!$K177),0),R177)</f>
        <v>1100.1324575912722</v>
      </c>
      <c r="T177" s="11">
        <f>IF(Components!U177&gt;0,PPMT(EarningsRate,1,Components!$K177,0,-Components!U177*((1+InflationRate)^Components!$K177),0),S177)</f>
        <v>1100.1324575912722</v>
      </c>
      <c r="U177" s="11">
        <f>IF(Components!V177&gt;0,PPMT(EarningsRate,1,Components!$K177,0,-Components!V177*((1+InflationRate)^Components!$K177),0),T177)</f>
        <v>1100.1324575912722</v>
      </c>
      <c r="V177" s="11">
        <f>IF(Components!W177&gt;0,PPMT(EarningsRate,1,Components!$K177,0,-Components!W177*((1+InflationRate)^Components!$K177),0),U177)</f>
        <v>1100.1324575912722</v>
      </c>
      <c r="W177" s="11">
        <f>IF(Components!X177&gt;0,PPMT(EarningsRate,1,Components!$K177,0,-Components!X177*((1+InflationRate)^Components!$K177),0),V177)</f>
        <v>1100.1324575912722</v>
      </c>
      <c r="X177" s="11">
        <f>IF(Components!Y177&gt;0,PPMT(EarningsRate,1,Components!$K177,0,-Components!Y177*((1+InflationRate)^Components!$K177),0),W177)</f>
        <v>1100.1324575912722</v>
      </c>
      <c r="Y177" s="11">
        <f>IF(Components!Z177&gt;0,PPMT(EarningsRate,1,Components!$K177,0,-Components!Z177*((1+InflationRate)^Components!$K177),0),X177)</f>
        <v>1100.1324575912722</v>
      </c>
      <c r="Z177" s="11">
        <f>IF(Components!AA177&gt;0,PPMT(EarningsRate,1,Components!$K177,0,-Components!AA177*((1+InflationRate)^Components!$K177),0),Y177)</f>
        <v>1100.1324575912722</v>
      </c>
      <c r="AA177" s="11">
        <f>IF(Components!AB177&gt;0,PPMT(EarningsRate,1,Components!$K177,0,-Components!AB177*((1+InflationRate)^Components!$K177),0),Z177)</f>
        <v>1100.1324575912722</v>
      </c>
      <c r="AB177" s="11">
        <f>IF(Components!AC177&gt;0,PPMT(EarningsRate,1,Components!$K177,0,-Components!AC177*((1+InflationRate)^Components!$K177),0),AA177)</f>
        <v>1100.1324575912722</v>
      </c>
      <c r="AC177" s="11">
        <f>IF(Components!AD177&gt;0,PPMT(EarningsRate,1,Components!$K177,0,-Components!AD177*((1+InflationRate)^Components!$K177),0),AB177)</f>
        <v>1100.1324575912722</v>
      </c>
      <c r="AD177" s="11">
        <f>IF(Components!AE177&gt;0,PPMT(EarningsRate,1,Components!$K177,0,-Components!AE177*((1+InflationRate)^Components!$K177),0),AC177)</f>
        <v>1100.1324575912722</v>
      </c>
      <c r="AE177" s="11">
        <f>IF(Components!AF177&gt;0,PPMT(EarningsRate,1,Components!$K177,0,-Components!AF177*((1+InflationRate)^Components!$K177),0),AD177)</f>
        <v>1100.1324575912722</v>
      </c>
      <c r="AF177" s="11">
        <f>IF(Components!AG177&gt;0,PPMT(EarningsRate,1,Components!$K177,0,-Components!AG177*((1+InflationRate)^Components!$K177),0),AE177)</f>
        <v>1100.1324575912722</v>
      </c>
      <c r="AG177" s="11">
        <f>IF(Components!AH177&gt;0,PPMT(EarningsRate,1,Components!$K177,0,-Components!AH177*((1+InflationRate)^Components!$K177),0),AF177)</f>
        <v>1100.1324575912722</v>
      </c>
      <c r="AH177" s="11">
        <f>IF(Components!AI177&gt;0,PPMT(EarningsRate,1,Components!$K177,0,-Components!AI177*((1+InflationRate)^Components!$K177),0),AG177)</f>
        <v>1100.1324575912722</v>
      </c>
      <c r="AI177" s="11">
        <f>IF(Components!AJ177&gt;0,PPMT(EarningsRate,1,Components!$K177,0,-Components!AJ177*((1+InflationRate)^Components!$K177),0),AH177)</f>
        <v>1100.1324575912722</v>
      </c>
      <c r="AJ177" s="11">
        <f>IF(Components!AK177&gt;0,PPMT(EarningsRate,1,Components!$K177,0,-Components!AK177*((1+InflationRate)^Components!$K177),0),AI177)</f>
        <v>1100.1324575912722</v>
      </c>
      <c r="AK177" s="11">
        <f>IF(Components!AL177&gt;0,PPMT(EarningsRate,1,Components!$K177,0,-Components!AL177*((1+InflationRate)^Components!$K177),0),AJ177)</f>
        <v>1100.1324575912722</v>
      </c>
      <c r="AL177" s="11">
        <f>IF(Components!AM177&gt;0,PPMT(EarningsRate,1,Components!$K177,0,-Components!AM177*((1+InflationRate)^Components!$K177),0),AK177)</f>
        <v>1100.1324575912722</v>
      </c>
      <c r="AM177" s="11">
        <f>IF(Components!AN177&gt;0,PPMT(EarningsRate,1,Components!$K177,0,-Components!AN177*((1+InflationRate)^Components!$K177),0),AL177)</f>
        <v>1100.1324575912722</v>
      </c>
      <c r="AN177" s="11">
        <f>IF(Components!AO177&gt;0,PPMT(EarningsRate,1,Components!$K177,0,-Components!AO177*((1+InflationRate)^Components!$K177),0),AM177)</f>
        <v>1100.1324575912722</v>
      </c>
      <c r="AO177" s="11">
        <f>IF(Components!AP177&gt;0,PPMT(EarningsRate,1,Components!$K177,0,-Components!AP177*((1+InflationRate)^Components!$K177),0),AN177)</f>
        <v>3087.8448563062129</v>
      </c>
      <c r="AP177" s="214"/>
      <c r="AQ177" s="11">
        <f t="shared" si="3"/>
        <v>36091.818684044396</v>
      </c>
    </row>
    <row r="178" spans="1:43" s="1" customFormat="1">
      <c r="A178" s="220" t="str">
        <f>Components!B178</f>
        <v>Maintenance Bldg</v>
      </c>
      <c r="B178" s="220" t="str">
        <f>Components!C178</f>
        <v>Gas Dispensor</v>
      </c>
      <c r="C178" s="211"/>
      <c r="D178" s="211"/>
      <c r="E178" s="211"/>
      <c r="F178" s="88"/>
      <c r="G178" s="212"/>
      <c r="H178" s="212"/>
      <c r="I178" s="212"/>
      <c r="J178" s="211"/>
      <c r="K178" s="11">
        <f>IF('FF Balance'!H178&gt;=0,PPMT(EarningsRate,1,Components!K178,0,-'FF Balance'!G178,0),0)</f>
        <v>1024.0094161925012</v>
      </c>
      <c r="L178" s="11">
        <f>IF(Components!M178&gt;0,PPMT(EarningsRate,1,Components!$K178,0,-Components!M178*((1+InflationRate)^Components!$K178),0),K178)</f>
        <v>1024.0094161925012</v>
      </c>
      <c r="M178" s="11">
        <f>IF(Components!N178&gt;0,PPMT(EarningsRate,1,Components!$K178,0,-Components!N178*((1+InflationRate)^Components!$K178),0),L178)</f>
        <v>1024.0094161925012</v>
      </c>
      <c r="N178" s="11">
        <f>IF(Components!O178&gt;0,PPMT(EarningsRate,1,Components!$K178,0,-Components!O178*((1+InflationRate)^Components!$K178),0),M178)</f>
        <v>1024.0094161925012</v>
      </c>
      <c r="O178" s="11">
        <f>IF(Components!P178&gt;0,PPMT(EarningsRate,1,Components!$K178,0,-Components!P178*((1+InflationRate)^Components!$K178),0),N178)</f>
        <v>1024.0094161925012</v>
      </c>
      <c r="P178" s="11">
        <f>IF(Components!Q178&gt;0,PPMT(EarningsRate,1,Components!$K178,0,-Components!Q178*((1+InflationRate)^Components!$K178),0),O178)</f>
        <v>1024.0094161925012</v>
      </c>
      <c r="Q178" s="11">
        <f>IF(Components!R178&gt;0,PPMT(EarningsRate,1,Components!$K178,0,-Components!R178*((1+InflationRate)^Components!$K178),0),P178)</f>
        <v>1024.0094161925012</v>
      </c>
      <c r="R178" s="11">
        <f>IF(Components!S178&gt;0,PPMT(EarningsRate,1,Components!$K178,0,-Components!S178*((1+InflationRate)^Components!$K178),0),Q178)</f>
        <v>1024.0094161925012</v>
      </c>
      <c r="S178" s="11">
        <f>IF(Components!T178&gt;0,PPMT(EarningsRate,1,Components!$K178,0,-Components!T178*((1+InflationRate)^Components!$K178),0),R178)</f>
        <v>1024.0094161925012</v>
      </c>
      <c r="T178" s="11">
        <f>IF(Components!U178&gt;0,PPMT(EarningsRate,1,Components!$K178,0,-Components!U178*((1+InflationRate)^Components!$K178),0),S178)</f>
        <v>1024.0094161925012</v>
      </c>
      <c r="U178" s="11">
        <f>IF(Components!V178&gt;0,PPMT(EarningsRate,1,Components!$K178,0,-Components!V178*((1+InflationRate)^Components!$K178),0),T178)</f>
        <v>1024.0094161925012</v>
      </c>
      <c r="V178" s="11">
        <f>IF(Components!W178&gt;0,PPMT(EarningsRate,1,Components!$K178,0,-Components!W178*((1+InflationRate)^Components!$K178),0),U178)</f>
        <v>1024.0094161925012</v>
      </c>
      <c r="W178" s="11">
        <f>IF(Components!X178&gt;0,PPMT(EarningsRate,1,Components!$K178,0,-Components!X178*((1+InflationRate)^Components!$K178),0),V178)</f>
        <v>2037.5625324239975</v>
      </c>
      <c r="X178" s="11">
        <f>IF(Components!Y178&gt;0,PPMT(EarningsRate,1,Components!$K178,0,-Components!Y178*((1+InflationRate)^Components!$K178),0),W178)</f>
        <v>2037.5625324239975</v>
      </c>
      <c r="Y178" s="11">
        <f>IF(Components!Z178&gt;0,PPMT(EarningsRate,1,Components!$K178,0,-Components!Z178*((1+InflationRate)^Components!$K178),0),X178)</f>
        <v>2037.5625324239975</v>
      </c>
      <c r="Z178" s="11">
        <f>IF(Components!AA178&gt;0,PPMT(EarningsRate,1,Components!$K178,0,-Components!AA178*((1+InflationRate)^Components!$K178),0),Y178)</f>
        <v>2037.5625324239975</v>
      </c>
      <c r="AA178" s="11">
        <f>IF(Components!AB178&gt;0,PPMT(EarningsRate,1,Components!$K178,0,-Components!AB178*((1+InflationRate)^Components!$K178),0),Z178)</f>
        <v>2037.5625324239975</v>
      </c>
      <c r="AB178" s="11">
        <f>IF(Components!AC178&gt;0,PPMT(EarningsRate,1,Components!$K178,0,-Components!AC178*((1+InflationRate)^Components!$K178),0),AA178)</f>
        <v>2037.5625324239975</v>
      </c>
      <c r="AC178" s="11">
        <f>IF(Components!AD178&gt;0,PPMT(EarningsRate,1,Components!$K178,0,-Components!AD178*((1+InflationRate)^Components!$K178),0),AB178)</f>
        <v>2037.5625324239975</v>
      </c>
      <c r="AD178" s="11">
        <f>IF(Components!AE178&gt;0,PPMT(EarningsRate,1,Components!$K178,0,-Components!AE178*((1+InflationRate)^Components!$K178),0),AC178)</f>
        <v>2037.5625324239975</v>
      </c>
      <c r="AE178" s="11">
        <f>IF(Components!AF178&gt;0,PPMT(EarningsRate,1,Components!$K178,0,-Components!AF178*((1+InflationRate)^Components!$K178),0),AD178)</f>
        <v>2037.5625324239975</v>
      </c>
      <c r="AF178" s="11">
        <f>IF(Components!AG178&gt;0,PPMT(EarningsRate,1,Components!$K178,0,-Components!AG178*((1+InflationRate)^Components!$K178),0),AE178)</f>
        <v>2037.5625324239975</v>
      </c>
      <c r="AG178" s="11">
        <f>IF(Components!AH178&gt;0,PPMT(EarningsRate,1,Components!$K178,0,-Components!AH178*((1+InflationRate)^Components!$K178),0),AF178)</f>
        <v>2037.5625324239975</v>
      </c>
      <c r="AH178" s="11">
        <f>IF(Components!AI178&gt;0,PPMT(EarningsRate,1,Components!$K178,0,-Components!AI178*((1+InflationRate)^Components!$K178),0),AG178)</f>
        <v>2037.5625324239975</v>
      </c>
      <c r="AI178" s="11">
        <f>IF(Components!AJ178&gt;0,PPMT(EarningsRate,1,Components!$K178,0,-Components!AJ178*((1+InflationRate)^Components!$K178),0),AH178)</f>
        <v>2037.5625324239975</v>
      </c>
      <c r="AJ178" s="11">
        <f>IF(Components!AK178&gt;0,PPMT(EarningsRate,1,Components!$K178,0,-Components!AK178*((1+InflationRate)^Components!$K178),0),AI178)</f>
        <v>2037.5625324239975</v>
      </c>
      <c r="AK178" s="11">
        <f>IF(Components!AL178&gt;0,PPMT(EarningsRate,1,Components!$K178,0,-Components!AL178*((1+InflationRate)^Components!$K178),0),AJ178)</f>
        <v>2037.5625324239975</v>
      </c>
      <c r="AL178" s="11">
        <f>IF(Components!AM178&gt;0,PPMT(EarningsRate,1,Components!$K178,0,-Components!AM178*((1+InflationRate)^Components!$K178),0),AK178)</f>
        <v>2037.5625324239975</v>
      </c>
      <c r="AM178" s="11">
        <f>IF(Components!AN178&gt;0,PPMT(EarningsRate,1,Components!$K178,0,-Components!AN178*((1+InflationRate)^Components!$K178),0),AL178)</f>
        <v>2037.5625324239975</v>
      </c>
      <c r="AN178" s="11">
        <f>IF(Components!AO178&gt;0,PPMT(EarningsRate,1,Components!$K178,0,-Components!AO178*((1+InflationRate)^Components!$K178),0),AM178)</f>
        <v>2037.5625324239975</v>
      </c>
      <c r="AO178" s="11">
        <f>IF(Components!AP178&gt;0,PPMT(EarningsRate,1,Components!$K178,0,-Components!AP178*((1+InflationRate)^Components!$K178),0),AN178)</f>
        <v>2037.5625324239975</v>
      </c>
      <c r="AP178" s="214"/>
      <c r="AQ178" s="11">
        <f t="shared" si="3"/>
        <v>51001.801210365957</v>
      </c>
    </row>
    <row r="179" spans="1:43" s="1" customFormat="1">
      <c r="A179" s="220" t="str">
        <f>Components!B179</f>
        <v>Maintenance Bldg</v>
      </c>
      <c r="B179" s="220" t="str">
        <f>Components!C179</f>
        <v>Gas Monitoring System</v>
      </c>
      <c r="C179" s="211"/>
      <c r="D179" s="211"/>
      <c r="E179" s="211"/>
      <c r="F179" s="88"/>
      <c r="G179" s="212"/>
      <c r="H179" s="212"/>
      <c r="I179" s="212"/>
      <c r="J179" s="211"/>
      <c r="K179" s="11">
        <f>IF('FF Balance'!H179&gt;=0,PPMT(EarningsRate,1,Components!K179,0,-'FF Balance'!G179,0),0)</f>
        <v>341.35005489234305</v>
      </c>
      <c r="L179" s="11">
        <f>IF(Components!M179&gt;0,PPMT(EarningsRate,1,Components!$K179,0,-Components!M179*((1+InflationRate)^Components!$K179),0),K179)</f>
        <v>341.35005489234305</v>
      </c>
      <c r="M179" s="11">
        <f>IF(Components!N179&gt;0,PPMT(EarningsRate,1,Components!$K179,0,-Components!N179*((1+InflationRate)^Components!$K179),0),L179)</f>
        <v>341.35005489234305</v>
      </c>
      <c r="N179" s="11">
        <f>IF(Components!O179&gt;0,PPMT(EarningsRate,1,Components!$K179,0,-Components!O179*((1+InflationRate)^Components!$K179),0),M179)</f>
        <v>341.35005489234305</v>
      </c>
      <c r="O179" s="11">
        <f>IF(Components!P179&gt;0,PPMT(EarningsRate,1,Components!$K179,0,-Components!P179*((1+InflationRate)^Components!$K179),0),N179)</f>
        <v>341.35005489234305</v>
      </c>
      <c r="P179" s="11">
        <f>IF(Components!Q179&gt;0,PPMT(EarningsRate,1,Components!$K179,0,-Components!Q179*((1+InflationRate)^Components!$K179),0),O179)</f>
        <v>341.35005489234305</v>
      </c>
      <c r="Q179" s="11">
        <f>IF(Components!R179&gt;0,PPMT(EarningsRate,1,Components!$K179,0,-Components!R179*((1+InflationRate)^Components!$K179),0),P179)</f>
        <v>341.35005489234305</v>
      </c>
      <c r="R179" s="11">
        <f>IF(Components!S179&gt;0,PPMT(EarningsRate,1,Components!$K179,0,-Components!S179*((1+InflationRate)^Components!$K179),0),Q179)</f>
        <v>341.35005489234305</v>
      </c>
      <c r="S179" s="11">
        <f>IF(Components!T179&gt;0,PPMT(EarningsRate,1,Components!$K179,0,-Components!T179*((1+InflationRate)^Components!$K179),0),R179)</f>
        <v>341.35005489234305</v>
      </c>
      <c r="T179" s="11">
        <f>IF(Components!U179&gt;0,PPMT(EarningsRate,1,Components!$K179,0,-Components!U179*((1+InflationRate)^Components!$K179),0),S179)</f>
        <v>341.35005489234305</v>
      </c>
      <c r="U179" s="11">
        <f>IF(Components!V179&gt;0,PPMT(EarningsRate,1,Components!$K179,0,-Components!V179*((1+InflationRate)^Components!$K179),0),T179)</f>
        <v>341.35005489234305</v>
      </c>
      <c r="V179" s="11">
        <f>IF(Components!W179&gt;0,PPMT(EarningsRate,1,Components!$K179,0,-Components!W179*((1+InflationRate)^Components!$K179),0),U179)</f>
        <v>341.35005489234305</v>
      </c>
      <c r="W179" s="11">
        <f>IF(Components!X179&gt;0,PPMT(EarningsRate,1,Components!$K179,0,-Components!X179*((1+InflationRate)^Components!$K179),0),V179)</f>
        <v>679.21453776823842</v>
      </c>
      <c r="X179" s="11">
        <f>IF(Components!Y179&gt;0,PPMT(EarningsRate,1,Components!$K179,0,-Components!Y179*((1+InflationRate)^Components!$K179),0),W179)</f>
        <v>679.21453776823842</v>
      </c>
      <c r="Y179" s="11">
        <f>IF(Components!Z179&gt;0,PPMT(EarningsRate,1,Components!$K179,0,-Components!Z179*((1+InflationRate)^Components!$K179),0),X179)</f>
        <v>679.21453776823842</v>
      </c>
      <c r="Z179" s="11">
        <f>IF(Components!AA179&gt;0,PPMT(EarningsRate,1,Components!$K179,0,-Components!AA179*((1+InflationRate)^Components!$K179),0),Y179)</f>
        <v>679.21453776823842</v>
      </c>
      <c r="AA179" s="11">
        <f>IF(Components!AB179&gt;0,PPMT(EarningsRate,1,Components!$K179,0,-Components!AB179*((1+InflationRate)^Components!$K179),0),Z179)</f>
        <v>679.21453776823842</v>
      </c>
      <c r="AB179" s="11">
        <f>IF(Components!AC179&gt;0,PPMT(EarningsRate,1,Components!$K179,0,-Components!AC179*((1+InflationRate)^Components!$K179),0),AA179)</f>
        <v>679.21453776823842</v>
      </c>
      <c r="AC179" s="11">
        <f>IF(Components!AD179&gt;0,PPMT(EarningsRate,1,Components!$K179,0,-Components!AD179*((1+InflationRate)^Components!$K179),0),AB179)</f>
        <v>679.21453776823842</v>
      </c>
      <c r="AD179" s="11">
        <f>IF(Components!AE179&gt;0,PPMT(EarningsRate,1,Components!$K179,0,-Components!AE179*((1+InflationRate)^Components!$K179),0),AC179)</f>
        <v>679.21453776823842</v>
      </c>
      <c r="AE179" s="11">
        <f>IF(Components!AF179&gt;0,PPMT(EarningsRate,1,Components!$K179,0,-Components!AF179*((1+InflationRate)^Components!$K179),0),AD179)</f>
        <v>679.21453776823842</v>
      </c>
      <c r="AF179" s="11">
        <f>IF(Components!AG179&gt;0,PPMT(EarningsRate,1,Components!$K179,0,-Components!AG179*((1+InflationRate)^Components!$K179),0),AE179)</f>
        <v>679.21453776823842</v>
      </c>
      <c r="AG179" s="11">
        <f>IF(Components!AH179&gt;0,PPMT(EarningsRate,1,Components!$K179,0,-Components!AH179*((1+InflationRate)^Components!$K179),0),AF179)</f>
        <v>679.21453776823842</v>
      </c>
      <c r="AH179" s="11">
        <f>IF(Components!AI179&gt;0,PPMT(EarningsRate,1,Components!$K179,0,-Components!AI179*((1+InflationRate)^Components!$K179),0),AG179)</f>
        <v>679.21453776823842</v>
      </c>
      <c r="AI179" s="11">
        <f>IF(Components!AJ179&gt;0,PPMT(EarningsRate,1,Components!$K179,0,-Components!AJ179*((1+InflationRate)^Components!$K179),0),AH179)</f>
        <v>679.21453776823842</v>
      </c>
      <c r="AJ179" s="11">
        <f>IF(Components!AK179&gt;0,PPMT(EarningsRate,1,Components!$K179,0,-Components!AK179*((1+InflationRate)^Components!$K179),0),AI179)</f>
        <v>679.21453776823842</v>
      </c>
      <c r="AK179" s="11">
        <f>IF(Components!AL179&gt;0,PPMT(EarningsRate,1,Components!$K179,0,-Components!AL179*((1+InflationRate)^Components!$K179),0),AJ179)</f>
        <v>679.21453776823842</v>
      </c>
      <c r="AL179" s="11">
        <f>IF(Components!AM179&gt;0,PPMT(EarningsRate,1,Components!$K179,0,-Components!AM179*((1+InflationRate)^Components!$K179),0),AK179)</f>
        <v>679.21453776823842</v>
      </c>
      <c r="AM179" s="11">
        <f>IF(Components!AN179&gt;0,PPMT(EarningsRate,1,Components!$K179,0,-Components!AN179*((1+InflationRate)^Components!$K179),0),AL179)</f>
        <v>679.21453776823842</v>
      </c>
      <c r="AN179" s="11">
        <f>IF(Components!AO179&gt;0,PPMT(EarningsRate,1,Components!$K179,0,-Components!AO179*((1+InflationRate)^Components!$K179),0),AM179)</f>
        <v>679.21453776823842</v>
      </c>
      <c r="AO179" s="11">
        <f>IF(Components!AP179&gt;0,PPMT(EarningsRate,1,Components!$K179,0,-Components!AP179*((1+InflationRate)^Components!$K179),0),AN179)</f>
        <v>679.21453776823842</v>
      </c>
      <c r="AP179" s="214"/>
      <c r="AQ179" s="11">
        <f t="shared" si="3"/>
        <v>17001.276976304653</v>
      </c>
    </row>
    <row r="180" spans="1:43" s="1" customFormat="1">
      <c r="A180" s="220" t="str">
        <f>Components!B180</f>
        <v>Maintenance Bldg</v>
      </c>
      <c r="B180" s="220" t="str">
        <f>Components!C180</f>
        <v>Gas Storage Tank</v>
      </c>
      <c r="C180" s="211"/>
      <c r="D180" s="211"/>
      <c r="E180" s="211"/>
      <c r="F180" s="88"/>
      <c r="G180" s="212"/>
      <c r="H180" s="212"/>
      <c r="I180" s="212"/>
      <c r="J180" s="211"/>
      <c r="K180" s="11">
        <f>IF('FF Balance'!H180&gt;=0,PPMT(EarningsRate,1,Components!K180,0,-'FF Balance'!G180,0),0)</f>
        <v>5120.087829447034</v>
      </c>
      <c r="L180" s="11">
        <f>IF(Components!M180&gt;0,PPMT(EarningsRate,1,Components!$K180,0,-Components!M180*((1+InflationRate)^Components!$K180),0),K180)</f>
        <v>5120.087829447034</v>
      </c>
      <c r="M180" s="11">
        <f>IF(Components!N180&gt;0,PPMT(EarningsRate,1,Components!$K180,0,-Components!N180*((1+InflationRate)^Components!$K180),0),L180)</f>
        <v>5120.087829447034</v>
      </c>
      <c r="N180" s="11">
        <f>IF(Components!O180&gt;0,PPMT(EarningsRate,1,Components!$K180,0,-Components!O180*((1+InflationRate)^Components!$K180),0),M180)</f>
        <v>5120.087829447034</v>
      </c>
      <c r="O180" s="11">
        <f>IF(Components!P180&gt;0,PPMT(EarningsRate,1,Components!$K180,0,-Components!P180*((1+InflationRate)^Components!$K180),0),N180)</f>
        <v>5120.087829447034</v>
      </c>
      <c r="P180" s="11">
        <f>IF(Components!Q180&gt;0,PPMT(EarningsRate,1,Components!$K180,0,-Components!Q180*((1+InflationRate)^Components!$K180),0),O180)</f>
        <v>5120.087829447034</v>
      </c>
      <c r="Q180" s="11">
        <f>IF(Components!R180&gt;0,PPMT(EarningsRate,1,Components!$K180,0,-Components!R180*((1+InflationRate)^Components!$K180),0),P180)</f>
        <v>5120.087829447034</v>
      </c>
      <c r="R180" s="11">
        <f>IF(Components!S180&gt;0,PPMT(EarningsRate,1,Components!$K180,0,-Components!S180*((1+InflationRate)^Components!$K180),0),Q180)</f>
        <v>5120.087829447034</v>
      </c>
      <c r="S180" s="11">
        <f>IF(Components!T180&gt;0,PPMT(EarningsRate,1,Components!$K180,0,-Components!T180*((1+InflationRate)^Components!$K180),0),R180)</f>
        <v>5120.087829447034</v>
      </c>
      <c r="T180" s="11">
        <f>IF(Components!U180&gt;0,PPMT(EarningsRate,1,Components!$K180,0,-Components!U180*((1+InflationRate)^Components!$K180),0),S180)</f>
        <v>5120.087829447034</v>
      </c>
      <c r="U180" s="11">
        <f>IF(Components!V180&gt;0,PPMT(EarningsRate,1,Components!$K180,0,-Components!V180*((1+InflationRate)^Components!$K180),0),T180)</f>
        <v>5120.087829447034</v>
      </c>
      <c r="V180" s="11">
        <f>IF(Components!W180&gt;0,PPMT(EarningsRate,1,Components!$K180,0,-Components!W180*((1+InflationRate)^Components!$K180),0),U180)</f>
        <v>5120.087829447034</v>
      </c>
      <c r="W180" s="11">
        <f>IF(Components!X180&gt;0,PPMT(EarningsRate,1,Components!$K180,0,-Components!X180*((1+InflationRate)^Components!$K180),0),V180)</f>
        <v>10187.893743000704</v>
      </c>
      <c r="X180" s="11">
        <f>IF(Components!Y180&gt;0,PPMT(EarningsRate,1,Components!$K180,0,-Components!Y180*((1+InflationRate)^Components!$K180),0),W180)</f>
        <v>10187.893743000704</v>
      </c>
      <c r="Y180" s="11">
        <f>IF(Components!Z180&gt;0,PPMT(EarningsRate,1,Components!$K180,0,-Components!Z180*((1+InflationRate)^Components!$K180),0),X180)</f>
        <v>10187.893743000704</v>
      </c>
      <c r="Z180" s="11">
        <f>IF(Components!AA180&gt;0,PPMT(EarningsRate,1,Components!$K180,0,-Components!AA180*((1+InflationRate)^Components!$K180),0),Y180)</f>
        <v>10187.893743000704</v>
      </c>
      <c r="AA180" s="11">
        <f>IF(Components!AB180&gt;0,PPMT(EarningsRate,1,Components!$K180,0,-Components!AB180*((1+InflationRate)^Components!$K180),0),Z180)</f>
        <v>10187.893743000704</v>
      </c>
      <c r="AB180" s="11">
        <f>IF(Components!AC180&gt;0,PPMT(EarningsRate,1,Components!$K180,0,-Components!AC180*((1+InflationRate)^Components!$K180),0),AA180)</f>
        <v>10187.893743000704</v>
      </c>
      <c r="AC180" s="11">
        <f>IF(Components!AD180&gt;0,PPMT(EarningsRate,1,Components!$K180,0,-Components!AD180*((1+InflationRate)^Components!$K180),0),AB180)</f>
        <v>10187.893743000704</v>
      </c>
      <c r="AD180" s="11">
        <f>IF(Components!AE180&gt;0,PPMT(EarningsRate,1,Components!$K180,0,-Components!AE180*((1+InflationRate)^Components!$K180),0),AC180)</f>
        <v>10187.893743000704</v>
      </c>
      <c r="AE180" s="11">
        <f>IF(Components!AF180&gt;0,PPMT(EarningsRate,1,Components!$K180,0,-Components!AF180*((1+InflationRate)^Components!$K180),0),AD180)</f>
        <v>10187.893743000704</v>
      </c>
      <c r="AF180" s="11">
        <f>IF(Components!AG180&gt;0,PPMT(EarningsRate,1,Components!$K180,0,-Components!AG180*((1+InflationRate)^Components!$K180),0),AE180)</f>
        <v>10187.893743000704</v>
      </c>
      <c r="AG180" s="11">
        <f>IF(Components!AH180&gt;0,PPMT(EarningsRate,1,Components!$K180,0,-Components!AH180*((1+InflationRate)^Components!$K180),0),AF180)</f>
        <v>10187.893743000704</v>
      </c>
      <c r="AH180" s="11">
        <f>IF(Components!AI180&gt;0,PPMT(EarningsRate,1,Components!$K180,0,-Components!AI180*((1+InflationRate)^Components!$K180),0),AG180)</f>
        <v>10187.893743000704</v>
      </c>
      <c r="AI180" s="11">
        <f>IF(Components!AJ180&gt;0,PPMT(EarningsRate,1,Components!$K180,0,-Components!AJ180*((1+InflationRate)^Components!$K180),0),AH180)</f>
        <v>10187.893743000704</v>
      </c>
      <c r="AJ180" s="11">
        <f>IF(Components!AK180&gt;0,PPMT(EarningsRate,1,Components!$K180,0,-Components!AK180*((1+InflationRate)^Components!$K180),0),AI180)</f>
        <v>10187.893743000704</v>
      </c>
      <c r="AK180" s="11">
        <f>IF(Components!AL180&gt;0,PPMT(EarningsRate,1,Components!$K180,0,-Components!AL180*((1+InflationRate)^Components!$K180),0),AJ180)</f>
        <v>10187.893743000704</v>
      </c>
      <c r="AL180" s="11">
        <f>IF(Components!AM180&gt;0,PPMT(EarningsRate,1,Components!$K180,0,-Components!AM180*((1+InflationRate)^Components!$K180),0),AK180)</f>
        <v>10187.893743000704</v>
      </c>
      <c r="AM180" s="11">
        <f>IF(Components!AN180&gt;0,PPMT(EarningsRate,1,Components!$K180,0,-Components!AN180*((1+InflationRate)^Components!$K180),0),AL180)</f>
        <v>10187.893743000704</v>
      </c>
      <c r="AN180" s="11">
        <f>IF(Components!AO180&gt;0,PPMT(EarningsRate,1,Components!$K180,0,-Components!AO180*((1+InflationRate)^Components!$K180),0),AM180)</f>
        <v>10187.893743000704</v>
      </c>
      <c r="AO180" s="11">
        <f>IF(Components!AP180&gt;0,PPMT(EarningsRate,1,Components!$K180,0,-Components!AP180*((1+InflationRate)^Components!$K180),0),AN180)</f>
        <v>10187.893743000704</v>
      </c>
      <c r="AP180" s="214"/>
      <c r="AQ180" s="11">
        <f t="shared" si="3"/>
        <v>255011.03517037764</v>
      </c>
    </row>
    <row r="181" spans="1:43" s="1" customFormat="1">
      <c r="A181" s="220" t="str">
        <f>Components!B181</f>
        <v>Maintenance Bldg</v>
      </c>
      <c r="B181" s="220" t="str">
        <f>Components!C181</f>
        <v>Inventory Remodel</v>
      </c>
      <c r="C181" s="211"/>
      <c r="D181" s="211"/>
      <c r="E181" s="211"/>
      <c r="F181" s="88"/>
      <c r="G181" s="212"/>
      <c r="H181" s="212"/>
      <c r="I181" s="212"/>
      <c r="J181" s="211"/>
      <c r="K181" s="11">
        <f>IF('FF Balance'!H181&gt;=0,PPMT(EarningsRate,1,Components!K181,0,-'FF Balance'!G181,0),0)</f>
        <v>810.81334514120113</v>
      </c>
      <c r="L181" s="11">
        <f>IF(Components!M181&gt;0,PPMT(EarningsRate,1,Components!$K181,0,-Components!M181*((1+InflationRate)^Components!$K181),0),K181)</f>
        <v>810.81334514120113</v>
      </c>
      <c r="M181" s="11">
        <f>IF(Components!N181&gt;0,PPMT(EarningsRate,1,Components!$K181,0,-Components!N181*((1+InflationRate)^Components!$K181),0),L181)</f>
        <v>810.81334514120113</v>
      </c>
      <c r="N181" s="11">
        <f>IF(Components!O181&gt;0,PPMT(EarningsRate,1,Components!$K181,0,-Components!O181*((1+InflationRate)^Components!$K181),0),M181)</f>
        <v>810.81334514120113</v>
      </c>
      <c r="O181" s="11">
        <f>IF(Components!P181&gt;0,PPMT(EarningsRate,1,Components!$K181,0,-Components!P181*((1+InflationRate)^Components!$K181),0),N181)</f>
        <v>810.81334514120113</v>
      </c>
      <c r="P181" s="11">
        <f>IF(Components!Q181&gt;0,PPMT(EarningsRate,1,Components!$K181,0,-Components!Q181*((1+InflationRate)^Components!$K181),0),O181)</f>
        <v>810.81334514120113</v>
      </c>
      <c r="Q181" s="11">
        <f>IF(Components!R181&gt;0,PPMT(EarningsRate,1,Components!$K181,0,-Components!R181*((1+InflationRate)^Components!$K181),0),P181)</f>
        <v>810.81334514120113</v>
      </c>
      <c r="R181" s="11">
        <f>IF(Components!S181&gt;0,PPMT(EarningsRate,1,Components!$K181,0,-Components!S181*((1+InflationRate)^Components!$K181),0),Q181)</f>
        <v>810.81334514120113</v>
      </c>
      <c r="S181" s="11">
        <f>IF(Components!T181&gt;0,PPMT(EarningsRate,1,Components!$K181,0,-Components!T181*((1+InflationRate)^Components!$K181),0),R181)</f>
        <v>810.81334514120113</v>
      </c>
      <c r="T181" s="11">
        <f>IF(Components!U181&gt;0,PPMT(EarningsRate,1,Components!$K181,0,-Components!U181*((1+InflationRate)^Components!$K181),0),S181)</f>
        <v>810.81334514120113</v>
      </c>
      <c r="U181" s="11">
        <f>IF(Components!V181&gt;0,PPMT(EarningsRate,1,Components!$K181,0,-Components!V181*((1+InflationRate)^Components!$K181),0),T181)</f>
        <v>810.81334514120113</v>
      </c>
      <c r="V181" s="11">
        <f>IF(Components!W181&gt;0,PPMT(EarningsRate,1,Components!$K181,0,-Components!W181*((1+InflationRate)^Components!$K181),0),U181)</f>
        <v>810.81334514120113</v>
      </c>
      <c r="W181" s="11">
        <f>IF(Components!X181&gt;0,PPMT(EarningsRate,1,Components!$K181,0,-Components!X181*((1+InflationRate)^Components!$K181),0),V181)</f>
        <v>810.81334514120113</v>
      </c>
      <c r="X181" s="11">
        <f>IF(Components!Y181&gt;0,PPMT(EarningsRate,1,Components!$K181,0,-Components!Y181*((1+InflationRate)^Components!$K181),0),W181)</f>
        <v>810.81334514120113</v>
      </c>
      <c r="Y181" s="11">
        <f>IF(Components!Z181&gt;0,PPMT(EarningsRate,1,Components!$K181,0,-Components!Z181*((1+InflationRate)^Components!$K181),0),X181)</f>
        <v>810.81334514120113</v>
      </c>
      <c r="Z181" s="11">
        <f>IF(Components!AA181&gt;0,PPMT(EarningsRate,1,Components!$K181,0,-Components!AA181*((1+InflationRate)^Components!$K181),0),Y181)</f>
        <v>810.81334514120113</v>
      </c>
      <c r="AA181" s="11">
        <f>IF(Components!AB181&gt;0,PPMT(EarningsRate,1,Components!$K181,0,-Components!AB181*((1+InflationRate)^Components!$K181),0),Z181)</f>
        <v>810.81334514120113</v>
      </c>
      <c r="AB181" s="11">
        <f>IF(Components!AC181&gt;0,PPMT(EarningsRate,1,Components!$K181,0,-Components!AC181*((1+InflationRate)^Components!$K181),0),AA181)</f>
        <v>1613.3473645114489</v>
      </c>
      <c r="AC181" s="11">
        <f>IF(Components!AD181&gt;0,PPMT(EarningsRate,1,Components!$K181,0,-Components!AD181*((1+InflationRate)^Components!$K181),0),AB181)</f>
        <v>1613.3473645114489</v>
      </c>
      <c r="AD181" s="11">
        <f>IF(Components!AE181&gt;0,PPMT(EarningsRate,1,Components!$K181,0,-Components!AE181*((1+InflationRate)^Components!$K181),0),AC181)</f>
        <v>1613.3473645114489</v>
      </c>
      <c r="AE181" s="11">
        <f>IF(Components!AF181&gt;0,PPMT(EarningsRate,1,Components!$K181,0,-Components!AF181*((1+InflationRate)^Components!$K181),0),AD181)</f>
        <v>1613.3473645114489</v>
      </c>
      <c r="AF181" s="11">
        <f>IF(Components!AG181&gt;0,PPMT(EarningsRate,1,Components!$K181,0,-Components!AG181*((1+InflationRate)^Components!$K181),0),AE181)</f>
        <v>1613.3473645114489</v>
      </c>
      <c r="AG181" s="11">
        <f>IF(Components!AH181&gt;0,PPMT(EarningsRate,1,Components!$K181,0,-Components!AH181*((1+InflationRate)^Components!$K181),0),AF181)</f>
        <v>1613.3473645114489</v>
      </c>
      <c r="AH181" s="11">
        <f>IF(Components!AI181&gt;0,PPMT(EarningsRate,1,Components!$K181,0,-Components!AI181*((1+InflationRate)^Components!$K181),0),AG181)</f>
        <v>1613.3473645114489</v>
      </c>
      <c r="AI181" s="11">
        <f>IF(Components!AJ181&gt;0,PPMT(EarningsRate,1,Components!$K181,0,-Components!AJ181*((1+InflationRate)^Components!$K181),0),AH181)</f>
        <v>1613.3473645114489</v>
      </c>
      <c r="AJ181" s="11">
        <f>IF(Components!AK181&gt;0,PPMT(EarningsRate,1,Components!$K181,0,-Components!AK181*((1+InflationRate)^Components!$K181),0),AI181)</f>
        <v>1613.3473645114489</v>
      </c>
      <c r="AK181" s="11">
        <f>IF(Components!AL181&gt;0,PPMT(EarningsRate,1,Components!$K181,0,-Components!AL181*((1+InflationRate)^Components!$K181),0),AJ181)</f>
        <v>1613.3473645114489</v>
      </c>
      <c r="AL181" s="11">
        <f>IF(Components!AM181&gt;0,PPMT(EarningsRate,1,Components!$K181,0,-Components!AM181*((1+InflationRate)^Components!$K181),0),AK181)</f>
        <v>1613.3473645114489</v>
      </c>
      <c r="AM181" s="11">
        <f>IF(Components!AN181&gt;0,PPMT(EarningsRate,1,Components!$K181,0,-Components!AN181*((1+InflationRate)^Components!$K181),0),AL181)</f>
        <v>1613.3473645114489</v>
      </c>
      <c r="AN181" s="11">
        <f>IF(Components!AO181&gt;0,PPMT(EarningsRate,1,Components!$K181,0,-Components!AO181*((1+InflationRate)^Components!$K181),0),AM181)</f>
        <v>1613.3473645114489</v>
      </c>
      <c r="AO181" s="11">
        <f>IF(Components!AP181&gt;0,PPMT(EarningsRate,1,Components!$K181,0,-Components!AP181*((1+InflationRate)^Components!$K181),0),AN181)</f>
        <v>1613.3473645114489</v>
      </c>
      <c r="AP181" s="214"/>
      <c r="AQ181" s="11">
        <f t="shared" si="3"/>
        <v>36370.690070560711</v>
      </c>
    </row>
    <row r="182" spans="1:43" s="1" customFormat="1">
      <c r="A182" s="220" t="str">
        <f>Components!B182</f>
        <v>Maintenance Bldg</v>
      </c>
      <c r="B182" s="220" t="str">
        <f>Components!C182</f>
        <v>Paint Maintenance bldg</v>
      </c>
      <c r="C182" s="211"/>
      <c r="D182" s="211"/>
      <c r="E182" s="211"/>
      <c r="F182" s="88"/>
      <c r="G182" s="212"/>
      <c r="H182" s="212"/>
      <c r="I182" s="212"/>
      <c r="J182" s="211"/>
      <c r="K182" s="11">
        <f>IF('FF Balance'!H182&gt;=0,PPMT(EarningsRate,1,Components!K182,0,-'FF Balance'!G182,0),0)</f>
        <v>1728.0134019619341</v>
      </c>
      <c r="L182" s="11">
        <f>IF(Components!M182&gt;0,PPMT(EarningsRate,1,Components!$K182,0,-Components!M182*((1+InflationRate)^Components!$K182),0),K182)</f>
        <v>1728.0134019619341</v>
      </c>
      <c r="M182" s="11">
        <f>IF(Components!N182&gt;0,PPMT(EarningsRate,1,Components!$K182,0,-Components!N182*((1+InflationRate)^Components!$K182),0),L182)</f>
        <v>1728.0134019619341</v>
      </c>
      <c r="N182" s="11">
        <f>IF(Components!O182&gt;0,PPMT(EarningsRate,1,Components!$K182,0,-Components!O182*((1+InflationRate)^Components!$K182),0),M182)</f>
        <v>1728.0134019619341</v>
      </c>
      <c r="O182" s="11">
        <f>IF(Components!P182&gt;0,PPMT(EarningsRate,1,Components!$K182,0,-Components!P182*((1+InflationRate)^Components!$K182),0),N182)</f>
        <v>1728.0134019619341</v>
      </c>
      <c r="P182" s="11">
        <f>IF(Components!Q182&gt;0,PPMT(EarningsRate,1,Components!$K182,0,-Components!Q182*((1+InflationRate)^Components!$K182),0),O182)</f>
        <v>2437.5335631441912</v>
      </c>
      <c r="Q182" s="11">
        <f>IF(Components!R182&gt;0,PPMT(EarningsRate,1,Components!$K182,0,-Components!R182*((1+InflationRate)^Components!$K182),0),P182)</f>
        <v>2437.5335631441912</v>
      </c>
      <c r="R182" s="11">
        <f>IF(Components!S182&gt;0,PPMT(EarningsRate,1,Components!$K182,0,-Components!S182*((1+InflationRate)^Components!$K182),0),Q182)</f>
        <v>2437.5335631441912</v>
      </c>
      <c r="S182" s="11">
        <f>IF(Components!T182&gt;0,PPMT(EarningsRate,1,Components!$K182,0,-Components!T182*((1+InflationRate)^Components!$K182),0),R182)</f>
        <v>2437.5335631441912</v>
      </c>
      <c r="T182" s="11">
        <f>IF(Components!U182&gt;0,PPMT(EarningsRate,1,Components!$K182,0,-Components!U182*((1+InflationRate)^Components!$K182),0),S182)</f>
        <v>2437.5335631441912</v>
      </c>
      <c r="U182" s="11">
        <f>IF(Components!V182&gt;0,PPMT(EarningsRate,1,Components!$K182,0,-Components!V182*((1+InflationRate)^Components!$K182),0),T182)</f>
        <v>2437.5335631441912</v>
      </c>
      <c r="V182" s="11">
        <f>IF(Components!W182&gt;0,PPMT(EarningsRate,1,Components!$K182,0,-Components!W182*((1+InflationRate)^Components!$K182),0),U182)</f>
        <v>2437.5335631441912</v>
      </c>
      <c r="W182" s="11">
        <f>IF(Components!X182&gt;0,PPMT(EarningsRate,1,Components!$K182,0,-Components!X182*((1+InflationRate)^Components!$K182),0),V182)</f>
        <v>2437.5335631441912</v>
      </c>
      <c r="X182" s="11">
        <f>IF(Components!Y182&gt;0,PPMT(EarningsRate,1,Components!$K182,0,-Components!Y182*((1+InflationRate)^Components!$K182),0),W182)</f>
        <v>2437.5335631441912</v>
      </c>
      <c r="Y182" s="11">
        <f>IF(Components!Z182&gt;0,PPMT(EarningsRate,1,Components!$K182,0,-Components!Z182*((1+InflationRate)^Components!$K182),0),X182)</f>
        <v>2437.5335631441912</v>
      </c>
      <c r="Z182" s="11">
        <f>IF(Components!AA182&gt;0,PPMT(EarningsRate,1,Components!$K182,0,-Components!AA182*((1+InflationRate)^Components!$K182),0),Y182)</f>
        <v>3438.2970273054539</v>
      </c>
      <c r="AA182" s="11">
        <f>IF(Components!AB182&gt;0,PPMT(EarningsRate,1,Components!$K182,0,-Components!AB182*((1+InflationRate)^Components!$K182),0),Z182)</f>
        <v>3438.2970273054539</v>
      </c>
      <c r="AB182" s="11">
        <f>IF(Components!AC182&gt;0,PPMT(EarningsRate,1,Components!$K182,0,-Components!AC182*((1+InflationRate)^Components!$K182),0),AA182)</f>
        <v>3438.2970273054539</v>
      </c>
      <c r="AC182" s="11">
        <f>IF(Components!AD182&gt;0,PPMT(EarningsRate,1,Components!$K182,0,-Components!AD182*((1+InflationRate)^Components!$K182),0),AB182)</f>
        <v>3438.2970273054539</v>
      </c>
      <c r="AD182" s="11">
        <f>IF(Components!AE182&gt;0,PPMT(EarningsRate,1,Components!$K182,0,-Components!AE182*((1+InflationRate)^Components!$K182),0),AC182)</f>
        <v>3438.2970273054539</v>
      </c>
      <c r="AE182" s="11">
        <f>IF(Components!AF182&gt;0,PPMT(EarningsRate,1,Components!$K182,0,-Components!AF182*((1+InflationRate)^Components!$K182),0),AD182)</f>
        <v>3438.2970273054539</v>
      </c>
      <c r="AF182" s="11">
        <f>IF(Components!AG182&gt;0,PPMT(EarningsRate,1,Components!$K182,0,-Components!AG182*((1+InflationRate)^Components!$K182),0),AE182)</f>
        <v>3438.2970273054539</v>
      </c>
      <c r="AG182" s="11">
        <f>IF(Components!AH182&gt;0,PPMT(EarningsRate,1,Components!$K182,0,-Components!AH182*((1+InflationRate)^Components!$K182),0),AF182)</f>
        <v>3438.2970273054539</v>
      </c>
      <c r="AH182" s="11">
        <f>IF(Components!AI182&gt;0,PPMT(EarningsRate,1,Components!$K182,0,-Components!AI182*((1+InflationRate)^Components!$K182),0),AG182)</f>
        <v>3438.2970273054539</v>
      </c>
      <c r="AI182" s="11">
        <f>IF(Components!AJ182&gt;0,PPMT(EarningsRate,1,Components!$K182,0,-Components!AJ182*((1+InflationRate)^Components!$K182),0),AH182)</f>
        <v>3438.2970273054539</v>
      </c>
      <c r="AJ182" s="11">
        <f>IF(Components!AK182&gt;0,PPMT(EarningsRate,1,Components!$K182,0,-Components!AK182*((1+InflationRate)^Components!$K182),0),AI182)</f>
        <v>4850.1891006544411</v>
      </c>
      <c r="AK182" s="11">
        <f>IF(Components!AL182&gt;0,PPMT(EarningsRate,1,Components!$K182,0,-Components!AL182*((1+InflationRate)^Components!$K182),0),AJ182)</f>
        <v>4850.1891006544411</v>
      </c>
      <c r="AL182" s="11">
        <f>IF(Components!AM182&gt;0,PPMT(EarningsRate,1,Components!$K182,0,-Components!AM182*((1+InflationRate)^Components!$K182),0),AK182)</f>
        <v>4850.1891006544411</v>
      </c>
      <c r="AM182" s="11">
        <f>IF(Components!AN182&gt;0,PPMT(EarningsRate,1,Components!$K182,0,-Components!AN182*((1+InflationRate)^Components!$K182),0),AL182)</f>
        <v>4850.1891006544411</v>
      </c>
      <c r="AN182" s="11">
        <f>IF(Components!AO182&gt;0,PPMT(EarningsRate,1,Components!$K182,0,-Components!AO182*((1+InflationRate)^Components!$K182),0),AM182)</f>
        <v>4850.1891006544411</v>
      </c>
      <c r="AO182" s="11">
        <f>IF(Components!AP182&gt;0,PPMT(EarningsRate,1,Components!$K182,0,-Components!AP182*((1+InflationRate)^Components!$K182),0),AN182)</f>
        <v>4850.1891006544411</v>
      </c>
      <c r="AP182" s="214"/>
      <c r="AQ182" s="11">
        <f t="shared" si="3"/>
        <v>96499.507618232805</v>
      </c>
    </row>
    <row r="183" spans="1:43" s="1" customFormat="1">
      <c r="A183" s="220" t="str">
        <f>Components!B183</f>
        <v>Maintenance Bldg</v>
      </c>
      <c r="B183" s="220" t="str">
        <f>Components!C183</f>
        <v>Roof, Shop, asphalt</v>
      </c>
      <c r="C183" s="211"/>
      <c r="D183" s="211"/>
      <c r="E183" s="211"/>
      <c r="F183" s="88"/>
      <c r="G183" s="212"/>
      <c r="H183" s="212"/>
      <c r="I183" s="212"/>
      <c r="J183" s="211"/>
      <c r="K183" s="11">
        <f>IF('FF Balance'!H183&gt;=0,PPMT(EarningsRate,1,Components!K183,0,-'FF Balance'!G183,0),0)</f>
        <v>3679.9510645751643</v>
      </c>
      <c r="L183" s="11">
        <f>IF(Components!M183&gt;0,PPMT(EarningsRate,1,Components!$K183,0,-Components!M183*((1+InflationRate)^Components!$K183),0),K183)</f>
        <v>3679.9510645751643</v>
      </c>
      <c r="M183" s="11">
        <f>IF(Components!N183&gt;0,PPMT(EarningsRate,1,Components!$K183,0,-Components!N183*((1+InflationRate)^Components!$K183),0),L183)</f>
        <v>3679.9510645751643</v>
      </c>
      <c r="N183" s="11">
        <f>IF(Components!O183&gt;0,PPMT(EarningsRate,1,Components!$K183,0,-Components!O183*((1+InflationRate)^Components!$K183),0),M183)</f>
        <v>3679.9510645751643</v>
      </c>
      <c r="O183" s="11">
        <f>IF(Components!P183&gt;0,PPMT(EarningsRate,1,Components!$K183,0,-Components!P183*((1+InflationRate)^Components!$K183),0),N183)</f>
        <v>3679.9510645751643</v>
      </c>
      <c r="P183" s="11">
        <f>IF(Components!Q183&gt;0,PPMT(EarningsRate,1,Components!$K183,0,-Components!Q183*((1+InflationRate)^Components!$K183),0),O183)</f>
        <v>3679.9510645751643</v>
      </c>
      <c r="Q183" s="11">
        <f>IF(Components!R183&gt;0,PPMT(EarningsRate,1,Components!$K183,0,-Components!R183*((1+InflationRate)^Components!$K183),0),P183)</f>
        <v>3679.9510645751643</v>
      </c>
      <c r="R183" s="11">
        <f>IF(Components!S183&gt;0,PPMT(EarningsRate,1,Components!$K183,0,-Components!S183*((1+InflationRate)^Components!$K183),0),Q183)</f>
        <v>3679.9510645751643</v>
      </c>
      <c r="S183" s="11">
        <f>IF(Components!T183&gt;0,PPMT(EarningsRate,1,Components!$K183,0,-Components!T183*((1+InflationRate)^Components!$K183),0),R183)</f>
        <v>3679.9510645751643</v>
      </c>
      <c r="T183" s="11">
        <f>IF(Components!U183&gt;0,PPMT(EarningsRate,1,Components!$K183,0,-Components!U183*((1+InflationRate)^Components!$K183),0),S183)</f>
        <v>3679.9510645751643</v>
      </c>
      <c r="U183" s="11">
        <f>IF(Components!V183&gt;0,PPMT(EarningsRate,1,Components!$K183,0,-Components!V183*((1+InflationRate)^Components!$K183),0),T183)</f>
        <v>3679.9510645751643</v>
      </c>
      <c r="V183" s="11">
        <f>IF(Components!W183&gt;0,PPMT(EarningsRate,1,Components!$K183,0,-Components!W183*((1+InflationRate)^Components!$K183),0),U183)</f>
        <v>3679.9510645751643</v>
      </c>
      <c r="W183" s="11">
        <f>IF(Components!X183&gt;0,PPMT(EarningsRate,1,Components!$K183,0,-Components!X183*((1+InflationRate)^Components!$K183),0),V183)</f>
        <v>3679.9510645751643</v>
      </c>
      <c r="X183" s="11">
        <f>IF(Components!Y183&gt;0,PPMT(EarningsRate,1,Components!$K183,0,-Components!Y183*((1+InflationRate)^Components!$K183),0),W183)</f>
        <v>3679.9510645751643</v>
      </c>
      <c r="Y183" s="11">
        <f>IF(Components!Z183&gt;0,PPMT(EarningsRate,1,Components!$K183,0,-Components!Z183*((1+InflationRate)^Components!$K183),0),X183)</f>
        <v>3679.9510645751643</v>
      </c>
      <c r="Z183" s="11">
        <f>IF(Components!AA183&gt;0,PPMT(EarningsRate,1,Components!$K183,0,-Components!AA183*((1+InflationRate)^Components!$K183),0),Y183)</f>
        <v>3679.9510645751643</v>
      </c>
      <c r="AA183" s="11">
        <f>IF(Components!AB183&gt;0,PPMT(EarningsRate,1,Components!$K183,0,-Components!AB183*((1+InflationRate)^Components!$K183),0),Z183)</f>
        <v>3679.9510645751643</v>
      </c>
      <c r="AB183" s="11">
        <f>IF(Components!AC183&gt;0,PPMT(EarningsRate,1,Components!$K183,0,-Components!AC183*((1+InflationRate)^Components!$K183),0),AA183)</f>
        <v>3679.9510645751643</v>
      </c>
      <c r="AC183" s="11">
        <f>IF(Components!AD183&gt;0,PPMT(EarningsRate,1,Components!$K183,0,-Components!AD183*((1+InflationRate)^Components!$K183),0),AB183)</f>
        <v>3679.9510645751643</v>
      </c>
      <c r="AD183" s="11">
        <f>IF(Components!AE183&gt;0,PPMT(EarningsRate,1,Components!$K183,0,-Components!AE183*((1+InflationRate)^Components!$K183),0),AC183)</f>
        <v>3679.9510645751643</v>
      </c>
      <c r="AE183" s="11">
        <f>IF(Components!AF183&gt;0,PPMT(EarningsRate,1,Components!$K183,0,-Components!AF183*((1+InflationRate)^Components!$K183),0),AD183)</f>
        <v>8696.6258957054124</v>
      </c>
      <c r="AF183" s="11">
        <f>IF(Components!AG183&gt;0,PPMT(EarningsRate,1,Components!$K183,0,-Components!AG183*((1+InflationRate)^Components!$K183),0),AE183)</f>
        <v>8696.6258957054124</v>
      </c>
      <c r="AG183" s="11">
        <f>IF(Components!AH183&gt;0,PPMT(EarningsRate,1,Components!$K183,0,-Components!AH183*((1+InflationRate)^Components!$K183),0),AF183)</f>
        <v>8696.6258957054124</v>
      </c>
      <c r="AH183" s="11">
        <f>IF(Components!AI183&gt;0,PPMT(EarningsRate,1,Components!$K183,0,-Components!AI183*((1+InflationRate)^Components!$K183),0),AG183)</f>
        <v>8696.6258957054124</v>
      </c>
      <c r="AI183" s="11">
        <f>IF(Components!AJ183&gt;0,PPMT(EarningsRate,1,Components!$K183,0,-Components!AJ183*((1+InflationRate)^Components!$K183),0),AH183)</f>
        <v>8696.6258957054124</v>
      </c>
      <c r="AJ183" s="11">
        <f>IF(Components!AK183&gt;0,PPMT(EarningsRate,1,Components!$K183,0,-Components!AK183*((1+InflationRate)^Components!$K183),0),AI183)</f>
        <v>8696.6258957054124</v>
      </c>
      <c r="AK183" s="11">
        <f>IF(Components!AL183&gt;0,PPMT(EarningsRate,1,Components!$K183,0,-Components!AL183*((1+InflationRate)^Components!$K183),0),AJ183)</f>
        <v>8696.6258957054124</v>
      </c>
      <c r="AL183" s="11">
        <f>IF(Components!AM183&gt;0,PPMT(EarningsRate,1,Components!$K183,0,-Components!AM183*((1+InflationRate)^Components!$K183),0),AK183)</f>
        <v>8696.6258957054124</v>
      </c>
      <c r="AM183" s="11">
        <f>IF(Components!AN183&gt;0,PPMT(EarningsRate,1,Components!$K183,0,-Components!AN183*((1+InflationRate)^Components!$K183),0),AL183)</f>
        <v>8696.6258957054124</v>
      </c>
      <c r="AN183" s="11">
        <f>IF(Components!AO183&gt;0,PPMT(EarningsRate,1,Components!$K183,0,-Components!AO183*((1+InflationRate)^Components!$K183),0),AM183)</f>
        <v>8696.6258957054124</v>
      </c>
      <c r="AO183" s="11">
        <f>IF(Components!AP183&gt;0,PPMT(EarningsRate,1,Components!$K183,0,-Components!AP183*((1+InflationRate)^Components!$K183),0),AN183)</f>
        <v>8696.6258957054124</v>
      </c>
      <c r="AP183" s="214"/>
      <c r="AQ183" s="11">
        <f t="shared" si="3"/>
        <v>169261.90624426285</v>
      </c>
    </row>
    <row r="184" spans="1:43" s="1" customFormat="1">
      <c r="A184" s="220" t="str">
        <f>Components!B184</f>
        <v>Maintenance Bldg</v>
      </c>
      <c r="B184" s="220" t="str">
        <f>Components!C184</f>
        <v xml:space="preserve">Siding, Shop, vinyl </v>
      </c>
      <c r="C184" s="211"/>
      <c r="D184" s="211"/>
      <c r="E184" s="211"/>
      <c r="F184" s="88"/>
      <c r="G184" s="212"/>
      <c r="H184" s="212"/>
      <c r="I184" s="212"/>
      <c r="J184" s="211"/>
      <c r="K184" s="11">
        <f>IF('FF Balance'!H184&gt;=0,PPMT(EarningsRate,1,Components!K184,0,-'FF Balance'!G184,0),0)</f>
        <v>795.73724080935676</v>
      </c>
      <c r="L184" s="11">
        <f>IF(Components!M184&gt;0,PPMT(EarningsRate,1,Components!$K184,0,-Components!M184*((1+InflationRate)^Components!$K184),0),K184)</f>
        <v>795.73724080935676</v>
      </c>
      <c r="M184" s="11">
        <f>IF(Components!N184&gt;0,PPMT(EarningsRate,1,Components!$K184,0,-Components!N184*((1+InflationRate)^Components!$K184),0),L184)</f>
        <v>2233.470278101141</v>
      </c>
      <c r="N184" s="11">
        <f>IF(Components!O184&gt;0,PPMT(EarningsRate,1,Components!$K184,0,-Components!O184*((1+InflationRate)^Components!$K184),0),M184)</f>
        <v>2233.470278101141</v>
      </c>
      <c r="O184" s="11">
        <f>IF(Components!P184&gt;0,PPMT(EarningsRate,1,Components!$K184,0,-Components!P184*((1+InflationRate)^Components!$K184),0),N184)</f>
        <v>2233.470278101141</v>
      </c>
      <c r="P184" s="11">
        <f>IF(Components!Q184&gt;0,PPMT(EarningsRate,1,Components!$K184,0,-Components!Q184*((1+InflationRate)^Components!$K184),0),O184)</f>
        <v>2233.470278101141</v>
      </c>
      <c r="Q184" s="11">
        <f>IF(Components!R184&gt;0,PPMT(EarningsRate,1,Components!$K184,0,-Components!R184*((1+InflationRate)^Components!$K184),0),P184)</f>
        <v>2233.470278101141</v>
      </c>
      <c r="R184" s="11">
        <f>IF(Components!S184&gt;0,PPMT(EarningsRate,1,Components!$K184,0,-Components!S184*((1+InflationRate)^Components!$K184),0),Q184)</f>
        <v>2233.470278101141</v>
      </c>
      <c r="S184" s="11">
        <f>IF(Components!T184&gt;0,PPMT(EarningsRate,1,Components!$K184,0,-Components!T184*((1+InflationRate)^Components!$K184),0),R184)</f>
        <v>2233.470278101141</v>
      </c>
      <c r="T184" s="11">
        <f>IF(Components!U184&gt;0,PPMT(EarningsRate,1,Components!$K184,0,-Components!U184*((1+InflationRate)^Components!$K184),0),S184)</f>
        <v>2233.470278101141</v>
      </c>
      <c r="U184" s="11">
        <f>IF(Components!V184&gt;0,PPMT(EarningsRate,1,Components!$K184,0,-Components!V184*((1+InflationRate)^Components!$K184),0),T184)</f>
        <v>2233.470278101141</v>
      </c>
      <c r="V184" s="11">
        <f>IF(Components!W184&gt;0,PPMT(EarningsRate,1,Components!$K184,0,-Components!W184*((1+InflationRate)^Components!$K184),0),U184)</f>
        <v>2233.470278101141</v>
      </c>
      <c r="W184" s="11">
        <f>IF(Components!X184&gt;0,PPMT(EarningsRate,1,Components!$K184,0,-Components!X184*((1+InflationRate)^Components!$K184),0),V184)</f>
        <v>2233.470278101141</v>
      </c>
      <c r="X184" s="11">
        <f>IF(Components!Y184&gt;0,PPMT(EarningsRate,1,Components!$K184,0,-Components!Y184*((1+InflationRate)^Components!$K184),0),W184)</f>
        <v>2233.470278101141</v>
      </c>
      <c r="Y184" s="11">
        <f>IF(Components!Z184&gt;0,PPMT(EarningsRate,1,Components!$K184,0,-Components!Z184*((1+InflationRate)^Components!$K184),0),X184)</f>
        <v>2233.470278101141</v>
      </c>
      <c r="Z184" s="11">
        <f>IF(Components!AA184&gt;0,PPMT(EarningsRate,1,Components!$K184,0,-Components!AA184*((1+InflationRate)^Components!$K184),0),Y184)</f>
        <v>2233.470278101141</v>
      </c>
      <c r="AA184" s="11">
        <f>IF(Components!AB184&gt;0,PPMT(EarningsRate,1,Components!$K184,0,-Components!AB184*((1+InflationRate)^Components!$K184),0),Z184)</f>
        <v>2233.470278101141</v>
      </c>
      <c r="AB184" s="11">
        <f>IF(Components!AC184&gt;0,PPMT(EarningsRate,1,Components!$K184,0,-Components!AC184*((1+InflationRate)^Components!$K184),0),AA184)</f>
        <v>2233.470278101141</v>
      </c>
      <c r="AC184" s="11">
        <f>IF(Components!AD184&gt;0,PPMT(EarningsRate,1,Components!$K184,0,-Components!AD184*((1+InflationRate)^Components!$K184),0),AB184)</f>
        <v>2233.470278101141</v>
      </c>
      <c r="AD184" s="11">
        <f>IF(Components!AE184&gt;0,PPMT(EarningsRate,1,Components!$K184,0,-Components!AE184*((1+InflationRate)^Components!$K184),0),AC184)</f>
        <v>2233.470278101141</v>
      </c>
      <c r="AE184" s="11">
        <f>IF(Components!AF184&gt;0,PPMT(EarningsRate,1,Components!$K184,0,-Components!AF184*((1+InflationRate)^Components!$K184),0),AD184)</f>
        <v>2233.470278101141</v>
      </c>
      <c r="AF184" s="11">
        <f>IF(Components!AG184&gt;0,PPMT(EarningsRate,1,Components!$K184,0,-Components!AG184*((1+InflationRate)^Components!$K184),0),AE184)</f>
        <v>2233.470278101141</v>
      </c>
      <c r="AG184" s="11">
        <f>IF(Components!AH184&gt;0,PPMT(EarningsRate,1,Components!$K184,0,-Components!AH184*((1+InflationRate)^Components!$K184),0),AF184)</f>
        <v>2233.470278101141</v>
      </c>
      <c r="AH184" s="11">
        <f>IF(Components!AI184&gt;0,PPMT(EarningsRate,1,Components!$K184,0,-Components!AI184*((1+InflationRate)^Components!$K184),0),AG184)</f>
        <v>2233.470278101141</v>
      </c>
      <c r="AI184" s="11">
        <f>IF(Components!AJ184&gt;0,PPMT(EarningsRate,1,Components!$K184,0,-Components!AJ184*((1+InflationRate)^Components!$K184),0),AH184)</f>
        <v>2233.470278101141</v>
      </c>
      <c r="AJ184" s="11">
        <f>IF(Components!AK184&gt;0,PPMT(EarningsRate,1,Components!$K184,0,-Components!AK184*((1+InflationRate)^Components!$K184),0),AI184)</f>
        <v>2233.470278101141</v>
      </c>
      <c r="AK184" s="11">
        <f>IF(Components!AL184&gt;0,PPMT(EarningsRate,1,Components!$K184,0,-Components!AL184*((1+InflationRate)^Components!$K184),0),AJ184)</f>
        <v>2233.470278101141</v>
      </c>
      <c r="AL184" s="11">
        <f>IF(Components!AM184&gt;0,PPMT(EarningsRate,1,Components!$K184,0,-Components!AM184*((1+InflationRate)^Components!$K184),0),AK184)</f>
        <v>2233.470278101141</v>
      </c>
      <c r="AM184" s="11">
        <f>IF(Components!AN184&gt;0,PPMT(EarningsRate,1,Components!$K184,0,-Components!AN184*((1+InflationRate)^Components!$K184),0),AL184)</f>
        <v>2233.470278101141</v>
      </c>
      <c r="AN184" s="11">
        <f>IF(Components!AO184&gt;0,PPMT(EarningsRate,1,Components!$K184,0,-Components!AO184*((1+InflationRate)^Components!$K184),0),AM184)</f>
        <v>2233.470278101141</v>
      </c>
      <c r="AO184" s="11">
        <f>IF(Components!AP184&gt;0,PPMT(EarningsRate,1,Components!$K184,0,-Components!AP184*((1+InflationRate)^Components!$K184),0),AN184)</f>
        <v>2233.470278101141</v>
      </c>
      <c r="AP184" s="214"/>
      <c r="AQ184" s="11">
        <f t="shared" si="3"/>
        <v>66362.112646551832</v>
      </c>
    </row>
    <row r="185" spans="1:43" s="1" customFormat="1">
      <c r="A185" s="220" t="str">
        <f>Components!B185</f>
        <v>Maintenance Bldg</v>
      </c>
      <c r="B185" s="220" t="str">
        <f>Components!C185</f>
        <v>Vehicle hoist  1992</v>
      </c>
      <c r="C185" s="211"/>
      <c r="D185" s="211"/>
      <c r="E185" s="211"/>
      <c r="F185" s="88"/>
      <c r="G185" s="212"/>
      <c r="H185" s="212"/>
      <c r="I185" s="212"/>
      <c r="J185" s="211"/>
      <c r="K185" s="11">
        <f>IF('FF Balance'!H185&gt;=0,PPMT(EarningsRate,1,Components!K185,0,-'FF Balance'!G185,0),0)</f>
        <v>292.70201369668189</v>
      </c>
      <c r="L185" s="11">
        <f>IF(Components!M185&gt;0,PPMT(EarningsRate,1,Components!$K185,0,-Components!M185*((1+InflationRate)^Components!$K185),0),K185)</f>
        <v>691.72656575354586</v>
      </c>
      <c r="M185" s="11">
        <f>IF(Components!N185&gt;0,PPMT(EarningsRate,1,Components!$K185,0,-Components!N185*((1+InflationRate)^Components!$K185),0),L185)</f>
        <v>691.72656575354586</v>
      </c>
      <c r="N185" s="11">
        <f>IF(Components!O185&gt;0,PPMT(EarningsRate,1,Components!$K185,0,-Components!O185*((1+InflationRate)^Components!$K185),0),M185)</f>
        <v>691.72656575354586</v>
      </c>
      <c r="O185" s="11">
        <f>IF(Components!P185&gt;0,PPMT(EarningsRate,1,Components!$K185,0,-Components!P185*((1+InflationRate)^Components!$K185),0),N185)</f>
        <v>691.72656575354586</v>
      </c>
      <c r="P185" s="11">
        <f>IF(Components!Q185&gt;0,PPMT(EarningsRate,1,Components!$K185,0,-Components!Q185*((1+InflationRate)^Components!$K185),0),O185)</f>
        <v>691.72656575354586</v>
      </c>
      <c r="Q185" s="11">
        <f>IF(Components!R185&gt;0,PPMT(EarningsRate,1,Components!$K185,0,-Components!R185*((1+InflationRate)^Components!$K185),0),P185)</f>
        <v>691.72656575354586</v>
      </c>
      <c r="R185" s="11">
        <f>IF(Components!S185&gt;0,PPMT(EarningsRate,1,Components!$K185,0,-Components!S185*((1+InflationRate)^Components!$K185),0),Q185)</f>
        <v>691.72656575354586</v>
      </c>
      <c r="S185" s="11">
        <f>IF(Components!T185&gt;0,PPMT(EarningsRate,1,Components!$K185,0,-Components!T185*((1+InflationRate)^Components!$K185),0),R185)</f>
        <v>691.72656575354586</v>
      </c>
      <c r="T185" s="11">
        <f>IF(Components!U185&gt;0,PPMT(EarningsRate,1,Components!$K185,0,-Components!U185*((1+InflationRate)^Components!$K185),0),S185)</f>
        <v>691.72656575354586</v>
      </c>
      <c r="U185" s="11">
        <f>IF(Components!V185&gt;0,PPMT(EarningsRate,1,Components!$K185,0,-Components!V185*((1+InflationRate)^Components!$K185),0),T185)</f>
        <v>691.72656575354586</v>
      </c>
      <c r="V185" s="11">
        <f>IF(Components!W185&gt;0,PPMT(EarningsRate,1,Components!$K185,0,-Components!W185*((1+InflationRate)^Components!$K185),0),U185)</f>
        <v>691.72656575354586</v>
      </c>
      <c r="W185" s="11">
        <f>IF(Components!X185&gt;0,PPMT(EarningsRate,1,Components!$K185,0,-Components!X185*((1+InflationRate)^Components!$K185),0),V185)</f>
        <v>691.72656575354586</v>
      </c>
      <c r="X185" s="11">
        <f>IF(Components!Y185&gt;0,PPMT(EarningsRate,1,Components!$K185,0,-Components!Y185*((1+InflationRate)^Components!$K185),0),W185)</f>
        <v>691.72656575354586</v>
      </c>
      <c r="Y185" s="11">
        <f>IF(Components!Z185&gt;0,PPMT(EarningsRate,1,Components!$K185,0,-Components!Z185*((1+InflationRate)^Components!$K185),0),X185)</f>
        <v>691.72656575354586</v>
      </c>
      <c r="Z185" s="11">
        <f>IF(Components!AA185&gt;0,PPMT(EarningsRate,1,Components!$K185,0,-Components!AA185*((1+InflationRate)^Components!$K185),0),Y185)</f>
        <v>691.72656575354586</v>
      </c>
      <c r="AA185" s="11">
        <f>IF(Components!AB185&gt;0,PPMT(EarningsRate,1,Components!$K185,0,-Components!AB185*((1+InflationRate)^Components!$K185),0),Z185)</f>
        <v>691.72656575354586</v>
      </c>
      <c r="AB185" s="11">
        <f>IF(Components!AC185&gt;0,PPMT(EarningsRate,1,Components!$K185,0,-Components!AC185*((1+InflationRate)^Components!$K185),0),AA185)</f>
        <v>691.72656575354586</v>
      </c>
      <c r="AC185" s="11">
        <f>IF(Components!AD185&gt;0,PPMT(EarningsRate,1,Components!$K185,0,-Components!AD185*((1+InflationRate)^Components!$K185),0),AB185)</f>
        <v>691.72656575354586</v>
      </c>
      <c r="AD185" s="11">
        <f>IF(Components!AE185&gt;0,PPMT(EarningsRate,1,Components!$K185,0,-Components!AE185*((1+InflationRate)^Components!$K185),0),AC185)</f>
        <v>691.72656575354586</v>
      </c>
      <c r="AE185" s="11">
        <f>IF(Components!AF185&gt;0,PPMT(EarningsRate,1,Components!$K185,0,-Components!AF185*((1+InflationRate)^Components!$K185),0),AD185)</f>
        <v>691.72656575354586</v>
      </c>
      <c r="AF185" s="11">
        <f>IF(Components!AG185&gt;0,PPMT(EarningsRate,1,Components!$K185,0,-Components!AG185*((1+InflationRate)^Components!$K185),0),AE185)</f>
        <v>691.72656575354586</v>
      </c>
      <c r="AG185" s="11">
        <f>IF(Components!AH185&gt;0,PPMT(EarningsRate,1,Components!$K185,0,-Components!AH185*((1+InflationRate)^Components!$K185),0),AF185)</f>
        <v>691.72656575354586</v>
      </c>
      <c r="AH185" s="11">
        <f>IF(Components!AI185&gt;0,PPMT(EarningsRate,1,Components!$K185,0,-Components!AI185*((1+InflationRate)^Components!$K185),0),AG185)</f>
        <v>691.72656575354586</v>
      </c>
      <c r="AI185" s="11">
        <f>IF(Components!AJ185&gt;0,PPMT(EarningsRate,1,Components!$K185,0,-Components!AJ185*((1+InflationRate)^Components!$K185),0),AH185)</f>
        <v>691.72656575354586</v>
      </c>
      <c r="AJ185" s="11">
        <f>IF(Components!AK185&gt;0,PPMT(EarningsRate,1,Components!$K185,0,-Components!AK185*((1+InflationRate)^Components!$K185),0),AI185)</f>
        <v>691.72656575354586</v>
      </c>
      <c r="AK185" s="11">
        <f>IF(Components!AL185&gt;0,PPMT(EarningsRate,1,Components!$K185,0,-Components!AL185*((1+InflationRate)^Components!$K185),0),AJ185)</f>
        <v>1634.6920663516557</v>
      </c>
      <c r="AL185" s="11">
        <f>IF(Components!AM185&gt;0,PPMT(EarningsRate,1,Components!$K185,0,-Components!AM185*((1+InflationRate)^Components!$K185),0),AK185)</f>
        <v>1634.6920663516557</v>
      </c>
      <c r="AM185" s="11">
        <f>IF(Components!AN185&gt;0,PPMT(EarningsRate,1,Components!$K185,0,-Components!AN185*((1+InflationRate)^Components!$K185),0),AL185)</f>
        <v>1634.6920663516557</v>
      </c>
      <c r="AN185" s="11">
        <f>IF(Components!AO185&gt;0,PPMT(EarningsRate,1,Components!$K185,0,-Components!AO185*((1+InflationRate)^Components!$K185),0),AM185)</f>
        <v>1634.6920663516557</v>
      </c>
      <c r="AO185" s="11">
        <f>IF(Components!AP185&gt;0,PPMT(EarningsRate,1,Components!$K185,0,-Components!AP185*((1+InflationRate)^Components!$K185),0),AN185)</f>
        <v>1634.6920663516557</v>
      </c>
      <c r="AP185" s="214"/>
      <c r="AQ185" s="11">
        <f t="shared" si="3"/>
        <v>25759.326589293622</v>
      </c>
    </row>
    <row r="186" spans="1:43" s="1" customFormat="1">
      <c r="A186" s="220" t="str">
        <f>Components!B186</f>
        <v>Sealcoat</v>
      </c>
      <c r="B186" s="220" t="str">
        <f>Components!C186</f>
        <v>Linvale Place</v>
      </c>
      <c r="C186" s="211"/>
      <c r="D186" s="211"/>
      <c r="E186" s="211"/>
      <c r="F186" s="88"/>
      <c r="G186" s="212"/>
      <c r="H186" s="212"/>
      <c r="I186" s="212"/>
      <c r="J186" s="211"/>
      <c r="K186" s="11">
        <f>IF('FF Balance'!H186&gt;=0,PPMT(EarningsRate,1,Components!K186,0,-'FF Balance'!G186,0),0)</f>
        <v>5803.0094278133774</v>
      </c>
      <c r="L186" s="11">
        <f>IF(Components!M186&gt;0,PPMT(EarningsRate,1,Components!$K186,0,-Components!M186*((1+InflationRate)^Components!$K186),0),K186)</f>
        <v>7133.3802479670321</v>
      </c>
      <c r="M186" s="11">
        <f>IF(Components!N186&gt;0,PPMT(EarningsRate,1,Components!$K186,0,-Components!N186*((1+InflationRate)^Components!$K186),0),L186)</f>
        <v>7133.3802479670321</v>
      </c>
      <c r="N186" s="11">
        <f>IF(Components!O186&gt;0,PPMT(EarningsRate,1,Components!$K186,0,-Components!O186*((1+InflationRate)^Components!$K186),0),M186)</f>
        <v>7133.3802479670321</v>
      </c>
      <c r="O186" s="11">
        <f>IF(Components!P186&gt;0,PPMT(EarningsRate,1,Components!$K186,0,-Components!P186*((1+InflationRate)^Components!$K186),0),N186)</f>
        <v>7133.3802479670321</v>
      </c>
      <c r="P186" s="11">
        <f>IF(Components!Q186&gt;0,PPMT(EarningsRate,1,Components!$K186,0,-Components!Q186*((1+InflationRate)^Components!$K186),0),O186)</f>
        <v>7133.3802479670321</v>
      </c>
      <c r="Q186" s="11">
        <f>IF(Components!R186&gt;0,PPMT(EarningsRate,1,Components!$K186,0,-Components!R186*((1+InflationRate)^Components!$K186),0),P186)</f>
        <v>7133.3802479670321</v>
      </c>
      <c r="R186" s="11">
        <f>IF(Components!S186&gt;0,PPMT(EarningsRate,1,Components!$K186,0,-Components!S186*((1+InflationRate)^Components!$K186),0),Q186)</f>
        <v>8768.7044625331273</v>
      </c>
      <c r="S186" s="11">
        <f>IF(Components!T186&gt;0,PPMT(EarningsRate,1,Components!$K186,0,-Components!T186*((1+InflationRate)^Components!$K186),0),R186)</f>
        <v>8768.7044625331273</v>
      </c>
      <c r="T186" s="11">
        <f>IF(Components!U186&gt;0,PPMT(EarningsRate,1,Components!$K186,0,-Components!U186*((1+InflationRate)^Components!$K186),0),S186)</f>
        <v>8768.7044625331273</v>
      </c>
      <c r="U186" s="11">
        <f>IF(Components!V186&gt;0,PPMT(EarningsRate,1,Components!$K186,0,-Components!V186*((1+InflationRate)^Components!$K186),0),T186)</f>
        <v>8768.7044625331273</v>
      </c>
      <c r="V186" s="11">
        <f>IF(Components!W186&gt;0,PPMT(EarningsRate,1,Components!$K186,0,-Components!W186*((1+InflationRate)^Components!$K186),0),U186)</f>
        <v>8768.7044625331273</v>
      </c>
      <c r="W186" s="11">
        <f>IF(Components!X186&gt;0,PPMT(EarningsRate,1,Components!$K186,0,-Components!X186*((1+InflationRate)^Components!$K186),0),V186)</f>
        <v>8768.7044625331273</v>
      </c>
      <c r="X186" s="11">
        <f>IF(Components!Y186&gt;0,PPMT(EarningsRate,1,Components!$K186,0,-Components!Y186*((1+InflationRate)^Components!$K186),0),W186)</f>
        <v>10778.988906493971</v>
      </c>
      <c r="Y186" s="11">
        <f>IF(Components!Z186&gt;0,PPMT(EarningsRate,1,Components!$K186,0,-Components!Z186*((1+InflationRate)^Components!$K186),0),X186)</f>
        <v>10778.988906493971</v>
      </c>
      <c r="Z186" s="11">
        <f>IF(Components!AA186&gt;0,PPMT(EarningsRate,1,Components!$K186,0,-Components!AA186*((1+InflationRate)^Components!$K186),0),Y186)</f>
        <v>10778.988906493971</v>
      </c>
      <c r="AA186" s="11">
        <f>IF(Components!AB186&gt;0,PPMT(EarningsRate,1,Components!$K186,0,-Components!AB186*((1+InflationRate)^Components!$K186),0),Z186)</f>
        <v>10778.988906493971</v>
      </c>
      <c r="AB186" s="11">
        <f>IF(Components!AC186&gt;0,PPMT(EarningsRate,1,Components!$K186,0,-Components!AC186*((1+InflationRate)^Components!$K186),0),AA186)</f>
        <v>10778.988906493971</v>
      </c>
      <c r="AC186" s="11">
        <f>IF(Components!AD186&gt;0,PPMT(EarningsRate,1,Components!$K186,0,-Components!AD186*((1+InflationRate)^Components!$K186),0),AB186)</f>
        <v>10778.988906493971</v>
      </c>
      <c r="AD186" s="11">
        <f>IF(Components!AE186&gt;0,PPMT(EarningsRate,1,Components!$K186,0,-Components!AE186*((1+InflationRate)^Components!$K186),0),AC186)</f>
        <v>13250.14981696334</v>
      </c>
      <c r="AE186" s="11">
        <f>IF(Components!AF186&gt;0,PPMT(EarningsRate,1,Components!$K186,0,-Components!AF186*((1+InflationRate)^Components!$K186),0),AD186)</f>
        <v>13250.14981696334</v>
      </c>
      <c r="AF186" s="11">
        <f>IF(Components!AG186&gt;0,PPMT(EarningsRate,1,Components!$K186,0,-Components!AG186*((1+InflationRate)^Components!$K186),0),AE186)</f>
        <v>13250.14981696334</v>
      </c>
      <c r="AG186" s="11">
        <f>IF(Components!AH186&gt;0,PPMT(EarningsRate,1,Components!$K186,0,-Components!AH186*((1+InflationRate)^Components!$K186),0),AF186)</f>
        <v>13250.14981696334</v>
      </c>
      <c r="AH186" s="11">
        <f>IF(Components!AI186&gt;0,PPMT(EarningsRate,1,Components!$K186,0,-Components!AI186*((1+InflationRate)^Components!$K186),0),AG186)</f>
        <v>13250.14981696334</v>
      </c>
      <c r="AI186" s="11">
        <f>IF(Components!AJ186&gt;0,PPMT(EarningsRate,1,Components!$K186,0,-Components!AJ186*((1+InflationRate)^Components!$K186),0),AH186)</f>
        <v>13250.14981696334</v>
      </c>
      <c r="AJ186" s="11">
        <f>IF(Components!AK186&gt;0,PPMT(EarningsRate,1,Components!$K186,0,-Components!AK186*((1+InflationRate)^Components!$K186),0),AI186)</f>
        <v>13250.14981696334</v>
      </c>
      <c r="AK186" s="11">
        <f>IF(Components!AL186&gt;0,PPMT(EarningsRate,1,Components!$K186,0,-Components!AL186*((1+InflationRate)^Components!$K186),0),AJ186)</f>
        <v>13250.14981696334</v>
      </c>
      <c r="AL186" s="11">
        <f>IF(Components!AM186&gt;0,PPMT(EarningsRate,1,Components!$K186,0,-Components!AM186*((1+InflationRate)^Components!$K186),0),AK186)</f>
        <v>13250.14981696334</v>
      </c>
      <c r="AM186" s="11">
        <f>IF(Components!AN186&gt;0,PPMT(EarningsRate,1,Components!$K186,0,-Components!AN186*((1+InflationRate)^Components!$K186),0),AL186)</f>
        <v>13250.14981696334</v>
      </c>
      <c r="AN186" s="11">
        <f>IF(Components!AO186&gt;0,PPMT(EarningsRate,1,Components!$K186,0,-Components!AO186*((1+InflationRate)^Components!$K186),0),AM186)</f>
        <v>13250.14981696334</v>
      </c>
      <c r="AO186" s="11">
        <f>IF(Components!AP186&gt;0,PPMT(EarningsRate,1,Components!$K186,0,-Components!AP186*((1+InflationRate)^Components!$K186),0),AN186)</f>
        <v>13250.14981696334</v>
      </c>
      <c r="AP186" s="214"/>
      <c r="AQ186" s="11">
        <f t="shared" si="3"/>
        <v>324891.24903333822</v>
      </c>
    </row>
    <row r="187" spans="1:43" s="1" customFormat="1">
      <c r="A187" s="220" t="str">
        <f>Components!B187</f>
        <v>Sealcoat</v>
      </c>
      <c r="B187" s="220" t="str">
        <f>Components!C187</f>
        <v>Overflow Lot Across/216</v>
      </c>
      <c r="C187" s="211"/>
      <c r="D187" s="211"/>
      <c r="E187" s="211"/>
      <c r="F187" s="88"/>
      <c r="G187" s="212"/>
      <c r="H187" s="212"/>
      <c r="I187" s="212"/>
      <c r="J187" s="211"/>
      <c r="K187" s="11">
        <f>IF('FF Balance'!H187&gt;=0,PPMT(EarningsRate,1,Components!K187,0,-'FF Balance'!G187,0),0)</f>
        <v>1633.3120164555119</v>
      </c>
      <c r="L187" s="11">
        <f>IF(Components!M187&gt;0,PPMT(EarningsRate,1,Components!$K187,0,-Components!M187*((1+InflationRate)^Components!$K187),0),K187)</f>
        <v>1633.3120164555119</v>
      </c>
      <c r="M187" s="11">
        <f>IF(Components!N187&gt;0,PPMT(EarningsRate,1,Components!$K187,0,-Components!N187*((1+InflationRate)^Components!$K187),0),L187)</f>
        <v>1633.3120164555119</v>
      </c>
      <c r="N187" s="11">
        <f>IF(Components!O187&gt;0,PPMT(EarningsRate,1,Components!$K187,0,-Components!O187*((1+InflationRate)^Components!$K187),0),M187)</f>
        <v>1633.3120164555119</v>
      </c>
      <c r="O187" s="11">
        <f>IF(Components!P187&gt;0,PPMT(EarningsRate,1,Components!$K187,0,-Components!P187*((1+InflationRate)^Components!$K187),0),N187)</f>
        <v>1633.3120164555119</v>
      </c>
      <c r="P187" s="11">
        <f>IF(Components!Q187&gt;0,PPMT(EarningsRate,1,Components!$K187,0,-Components!Q187*((1+InflationRate)^Components!$K187),0),O187)</f>
        <v>2007.7574958104383</v>
      </c>
      <c r="Q187" s="11">
        <f>IF(Components!R187&gt;0,PPMT(EarningsRate,1,Components!$K187,0,-Components!R187*((1+InflationRate)^Components!$K187),0),P187)</f>
        <v>2007.7574958104383</v>
      </c>
      <c r="R187" s="11">
        <f>IF(Components!S187&gt;0,PPMT(EarningsRate,1,Components!$K187,0,-Components!S187*((1+InflationRate)^Components!$K187),0),Q187)</f>
        <v>2007.7574958104383</v>
      </c>
      <c r="S187" s="11">
        <f>IF(Components!T187&gt;0,PPMT(EarningsRate,1,Components!$K187,0,-Components!T187*((1+InflationRate)^Components!$K187),0),R187)</f>
        <v>2007.7574958104383</v>
      </c>
      <c r="T187" s="11">
        <f>IF(Components!U187&gt;0,PPMT(EarningsRate,1,Components!$K187,0,-Components!U187*((1+InflationRate)^Components!$K187),0),S187)</f>
        <v>2007.7574958104383</v>
      </c>
      <c r="U187" s="11">
        <f>IF(Components!V187&gt;0,PPMT(EarningsRate,1,Components!$K187,0,-Components!V187*((1+InflationRate)^Components!$K187),0),T187)</f>
        <v>2007.7574958104383</v>
      </c>
      <c r="V187" s="11">
        <f>IF(Components!W187&gt;0,PPMT(EarningsRate,1,Components!$K187,0,-Components!W187*((1+InflationRate)^Components!$K187),0),U187)</f>
        <v>2468.0508204381003</v>
      </c>
      <c r="W187" s="11">
        <f>IF(Components!X187&gt;0,PPMT(EarningsRate,1,Components!$K187,0,-Components!X187*((1+InflationRate)^Components!$K187),0),V187)</f>
        <v>2468.0508204381003</v>
      </c>
      <c r="X187" s="11">
        <f>IF(Components!Y187&gt;0,PPMT(EarningsRate,1,Components!$K187,0,-Components!Y187*((1+InflationRate)^Components!$K187),0),W187)</f>
        <v>2468.0508204381003</v>
      </c>
      <c r="Y187" s="11">
        <f>IF(Components!Z187&gt;0,PPMT(EarningsRate,1,Components!$K187,0,-Components!Z187*((1+InflationRate)^Components!$K187),0),X187)</f>
        <v>2468.0508204381003</v>
      </c>
      <c r="Z187" s="11">
        <f>IF(Components!AA187&gt;0,PPMT(EarningsRate,1,Components!$K187,0,-Components!AA187*((1+InflationRate)^Components!$K187),0),Y187)</f>
        <v>2468.0508204381003</v>
      </c>
      <c r="AA187" s="11">
        <f>IF(Components!AB187&gt;0,PPMT(EarningsRate,1,Components!$K187,0,-Components!AB187*((1+InflationRate)^Components!$K187),0),Z187)</f>
        <v>2468.0508204381003</v>
      </c>
      <c r="AB187" s="11">
        <f>IF(Components!AC187&gt;0,PPMT(EarningsRate,1,Components!$K187,0,-Components!AC187*((1+InflationRate)^Components!$K187),0),AA187)</f>
        <v>3033.8928255019191</v>
      </c>
      <c r="AC187" s="11">
        <f>IF(Components!AD187&gt;0,PPMT(EarningsRate,1,Components!$K187,0,-Components!AD187*((1+InflationRate)^Components!$K187),0),AB187)</f>
        <v>3033.8928255019191</v>
      </c>
      <c r="AD187" s="11">
        <f>IF(Components!AE187&gt;0,PPMT(EarningsRate,1,Components!$K187,0,-Components!AE187*((1+InflationRate)^Components!$K187),0),AC187)</f>
        <v>3033.8928255019191</v>
      </c>
      <c r="AE187" s="11">
        <f>IF(Components!AF187&gt;0,PPMT(EarningsRate,1,Components!$K187,0,-Components!AF187*((1+InflationRate)^Components!$K187),0),AD187)</f>
        <v>3033.8928255019191</v>
      </c>
      <c r="AF187" s="11">
        <f>IF(Components!AG187&gt;0,PPMT(EarningsRate,1,Components!$K187,0,-Components!AG187*((1+InflationRate)^Components!$K187),0),AE187)</f>
        <v>3033.8928255019191</v>
      </c>
      <c r="AG187" s="11">
        <f>IF(Components!AH187&gt;0,PPMT(EarningsRate,1,Components!$K187,0,-Components!AH187*((1+InflationRate)^Components!$K187),0),AF187)</f>
        <v>3033.8928255019191</v>
      </c>
      <c r="AH187" s="11">
        <f>IF(Components!AI187&gt;0,PPMT(EarningsRate,1,Components!$K187,0,-Components!AI187*((1+InflationRate)^Components!$K187),0),AG187)</f>
        <v>3729.5810893711764</v>
      </c>
      <c r="AI187" s="11">
        <f>IF(Components!AJ187&gt;0,PPMT(EarningsRate,1,Components!$K187,0,-Components!AJ187*((1+InflationRate)^Components!$K187),0),AH187)</f>
        <v>3729.5810893711764</v>
      </c>
      <c r="AJ187" s="11">
        <f>IF(Components!AK187&gt;0,PPMT(EarningsRate,1,Components!$K187,0,-Components!AK187*((1+InflationRate)^Components!$K187),0),AI187)</f>
        <v>3729.5810893711764</v>
      </c>
      <c r="AK187" s="11">
        <f>IF(Components!AL187&gt;0,PPMT(EarningsRate,1,Components!$K187,0,-Components!AL187*((1+InflationRate)^Components!$K187),0),AJ187)</f>
        <v>3729.5810893711764</v>
      </c>
      <c r="AL187" s="11">
        <f>IF(Components!AM187&gt;0,PPMT(EarningsRate,1,Components!$K187,0,-Components!AM187*((1+InflationRate)^Components!$K187),0),AK187)</f>
        <v>3729.5810893711764</v>
      </c>
      <c r="AM187" s="11">
        <f>IF(Components!AN187&gt;0,PPMT(EarningsRate,1,Components!$K187,0,-Components!AN187*((1+InflationRate)^Components!$K187),0),AL187)</f>
        <v>3729.5810893711764</v>
      </c>
      <c r="AN187" s="11">
        <f>IF(Components!AO187&gt;0,PPMT(EarningsRate,1,Components!$K187,0,-Components!AO187*((1+InflationRate)^Components!$K187),0),AM187)</f>
        <v>3729.5810893711764</v>
      </c>
      <c r="AO187" s="11">
        <f>IF(Components!AP187&gt;0,PPMT(EarningsRate,1,Components!$K187,0,-Components!AP187*((1+InflationRate)^Components!$K187),0),AN187)</f>
        <v>3729.5810893711764</v>
      </c>
      <c r="AP187" s="214"/>
      <c r="AQ187" s="11">
        <f t="shared" si="3"/>
        <v>83061.415747749721</v>
      </c>
    </row>
    <row r="188" spans="1:43" s="1" customFormat="1">
      <c r="A188" s="220" t="str">
        <f>Components!B188</f>
        <v>Sealcoat</v>
      </c>
      <c r="B188" s="220" t="str">
        <f>Components!C188</f>
        <v>Parking Lot - 250</v>
      </c>
      <c r="C188" s="211"/>
      <c r="D188" s="211"/>
      <c r="E188" s="211"/>
      <c r="F188" s="88"/>
      <c r="G188" s="212"/>
      <c r="H188" s="212"/>
      <c r="I188" s="212"/>
      <c r="J188" s="211"/>
      <c r="K188" s="11">
        <f>IF('FF Balance'!H188&gt;=0,PPMT(EarningsRate,1,Components!K188,0,-'FF Balance'!G188,0),0)</f>
        <v>2751.2823869018735</v>
      </c>
      <c r="L188" s="11">
        <f>IF(Components!M188&gt;0,PPMT(EarningsRate,1,Components!$K188,0,-Components!M188*((1+InflationRate)^Components!$K188),0),K188)</f>
        <v>2751.2823869018735</v>
      </c>
      <c r="M188" s="11">
        <f>IF(Components!N188&gt;0,PPMT(EarningsRate,1,Components!$K188,0,-Components!N188*((1+InflationRate)^Components!$K188),0),L188)</f>
        <v>2751.2823869018735</v>
      </c>
      <c r="N188" s="11">
        <f>IF(Components!O188&gt;0,PPMT(EarningsRate,1,Components!$K188,0,-Components!O188*((1+InflationRate)^Components!$K188),0),M188)</f>
        <v>2751.2823869018735</v>
      </c>
      <c r="O188" s="11">
        <f>IF(Components!P188&gt;0,PPMT(EarningsRate,1,Components!$K188,0,-Components!P188*((1+InflationRate)^Components!$K188),0),N188)</f>
        <v>2751.2823869018735</v>
      </c>
      <c r="P188" s="11">
        <f>IF(Components!Q188&gt;0,PPMT(EarningsRate,1,Components!$K188,0,-Components!Q188*((1+InflationRate)^Components!$K188),0),O188)</f>
        <v>2751.2823869018735</v>
      </c>
      <c r="Q188" s="11">
        <f>IF(Components!R188&gt;0,PPMT(EarningsRate,1,Components!$K188,0,-Components!R188*((1+InflationRate)^Components!$K188),0),P188)</f>
        <v>3382.028528376979</v>
      </c>
      <c r="R188" s="11">
        <f>IF(Components!S188&gt;0,PPMT(EarningsRate,1,Components!$K188,0,-Components!S188*((1+InflationRate)^Components!$K188),0),Q188)</f>
        <v>3382.028528376979</v>
      </c>
      <c r="S188" s="11">
        <f>IF(Components!T188&gt;0,PPMT(EarningsRate,1,Components!$K188,0,-Components!T188*((1+InflationRate)^Components!$K188),0),R188)</f>
        <v>3382.028528376979</v>
      </c>
      <c r="T188" s="11">
        <f>IF(Components!U188&gt;0,PPMT(EarningsRate,1,Components!$K188,0,-Components!U188*((1+InflationRate)^Components!$K188),0),S188)</f>
        <v>3382.028528376979</v>
      </c>
      <c r="U188" s="11">
        <f>IF(Components!V188&gt;0,PPMT(EarningsRate,1,Components!$K188,0,-Components!V188*((1+InflationRate)^Components!$K188),0),T188)</f>
        <v>3382.028528376979</v>
      </c>
      <c r="V188" s="11">
        <f>IF(Components!W188&gt;0,PPMT(EarningsRate,1,Components!$K188,0,-Components!W188*((1+InflationRate)^Components!$K188),0),U188)</f>
        <v>3382.028528376979</v>
      </c>
      <c r="W188" s="11">
        <f>IF(Components!X188&gt;0,PPMT(EarningsRate,1,Components!$K188,0,-Components!X188*((1+InflationRate)^Components!$K188),0),V188)</f>
        <v>4157.4128492974778</v>
      </c>
      <c r="X188" s="11">
        <f>IF(Components!Y188&gt;0,PPMT(EarningsRate,1,Components!$K188,0,-Components!Y188*((1+InflationRate)^Components!$K188),0),W188)</f>
        <v>4157.4128492974778</v>
      </c>
      <c r="Y188" s="11">
        <f>IF(Components!Z188&gt;0,PPMT(EarningsRate,1,Components!$K188,0,-Components!Z188*((1+InflationRate)^Components!$K188),0),X188)</f>
        <v>4157.4128492974778</v>
      </c>
      <c r="Z188" s="11">
        <f>IF(Components!AA188&gt;0,PPMT(EarningsRate,1,Components!$K188,0,-Components!AA188*((1+InflationRate)^Components!$K188),0),Y188)</f>
        <v>4157.4128492974778</v>
      </c>
      <c r="AA188" s="11">
        <f>IF(Components!AB188&gt;0,PPMT(EarningsRate,1,Components!$K188,0,-Components!AB188*((1+InflationRate)^Components!$K188),0),Z188)</f>
        <v>4157.4128492974778</v>
      </c>
      <c r="AB188" s="11">
        <f>IF(Components!AC188&gt;0,PPMT(EarningsRate,1,Components!$K188,0,-Components!AC188*((1+InflationRate)^Components!$K188),0),AA188)</f>
        <v>4157.4128492974778</v>
      </c>
      <c r="AC188" s="11">
        <f>IF(Components!AD188&gt;0,PPMT(EarningsRate,1,Components!$K188,0,-Components!AD188*((1+InflationRate)^Components!$K188),0),AB188)</f>
        <v>5110.4610632541617</v>
      </c>
      <c r="AD188" s="11">
        <f>IF(Components!AE188&gt;0,PPMT(EarningsRate,1,Components!$K188,0,-Components!AE188*((1+InflationRate)^Components!$K188),0),AC188)</f>
        <v>5110.4610632541617</v>
      </c>
      <c r="AE188" s="11">
        <f>IF(Components!AF188&gt;0,PPMT(EarningsRate,1,Components!$K188,0,-Components!AF188*((1+InflationRate)^Components!$K188),0),AD188)</f>
        <v>5110.4610632541617</v>
      </c>
      <c r="AF188" s="11">
        <f>IF(Components!AG188&gt;0,PPMT(EarningsRate,1,Components!$K188,0,-Components!AG188*((1+InflationRate)^Components!$K188),0),AE188)</f>
        <v>5110.4610632541617</v>
      </c>
      <c r="AG188" s="11">
        <f>IF(Components!AH188&gt;0,PPMT(EarningsRate,1,Components!$K188,0,-Components!AH188*((1+InflationRate)^Components!$K188),0),AF188)</f>
        <v>5110.4610632541617</v>
      </c>
      <c r="AH188" s="11">
        <f>IF(Components!AI188&gt;0,PPMT(EarningsRate,1,Components!$K188,0,-Components!AI188*((1+InflationRate)^Components!$K188),0),AG188)</f>
        <v>5110.4610632541617</v>
      </c>
      <c r="AI188" s="11">
        <f>IF(Components!AJ188&gt;0,PPMT(EarningsRate,1,Components!$K188,0,-Components!AJ188*((1+InflationRate)^Components!$K188),0),AH188)</f>
        <v>6281.9931019074211</v>
      </c>
      <c r="AJ188" s="11">
        <f>IF(Components!AK188&gt;0,PPMT(EarningsRate,1,Components!$K188,0,-Components!AK188*((1+InflationRate)^Components!$K188),0),AI188)</f>
        <v>6281.9931019074211</v>
      </c>
      <c r="AK188" s="11">
        <f>IF(Components!AL188&gt;0,PPMT(EarningsRate,1,Components!$K188,0,-Components!AL188*((1+InflationRate)^Components!$K188),0),AJ188)</f>
        <v>6281.9931019074211</v>
      </c>
      <c r="AL188" s="11">
        <f>IF(Components!AM188&gt;0,PPMT(EarningsRate,1,Components!$K188,0,-Components!AM188*((1+InflationRate)^Components!$K188),0),AK188)</f>
        <v>6281.9931019074211</v>
      </c>
      <c r="AM188" s="11">
        <f>IF(Components!AN188&gt;0,PPMT(EarningsRate,1,Components!$K188,0,-Components!AN188*((1+InflationRate)^Components!$K188),0),AL188)</f>
        <v>6281.9931019074211</v>
      </c>
      <c r="AN188" s="11">
        <f>IF(Components!AO188&gt;0,PPMT(EarningsRate,1,Components!$K188,0,-Components!AO188*((1+InflationRate)^Components!$K188),0),AM188)</f>
        <v>6281.9931019074211</v>
      </c>
      <c r="AO188" s="11">
        <f>IF(Components!AP188&gt;0,PPMT(EarningsRate,1,Components!$K188,0,-Components!AP188*((1+InflationRate)^Components!$K188),0),AN188)</f>
        <v>6281.9931019074211</v>
      </c>
      <c r="AP188" s="214"/>
      <c r="AQ188" s="11">
        <f t="shared" si="3"/>
        <v>136381.06078033493</v>
      </c>
    </row>
    <row r="189" spans="1:43" s="1" customFormat="1">
      <c r="A189" s="220" t="str">
        <f>Components!B189</f>
        <v>Sealcoat</v>
      </c>
      <c r="B189" s="220" t="str">
        <f>Components!C189</f>
        <v>Parking Lot - Club</v>
      </c>
      <c r="C189" s="211"/>
      <c r="D189" s="211"/>
      <c r="E189" s="211"/>
      <c r="F189" s="88"/>
      <c r="G189" s="212"/>
      <c r="H189" s="212"/>
      <c r="I189" s="212"/>
      <c r="J189" s="211"/>
      <c r="K189" s="11">
        <f>IF('FF Balance'!H189&gt;=0,PPMT(EarningsRate,1,Components!K189,0,-'FF Balance'!G189,0),0)</f>
        <v>2870.6696046793845</v>
      </c>
      <c r="L189" s="11">
        <f>IF(Components!M189&gt;0,PPMT(EarningsRate,1,Components!$K189,0,-Components!M189*((1+InflationRate)^Components!$K189),0),K189)</f>
        <v>2870.6696046793845</v>
      </c>
      <c r="M189" s="11">
        <f>IF(Components!N189&gt;0,PPMT(EarningsRate,1,Components!$K189,0,-Components!N189*((1+InflationRate)^Components!$K189),0),L189)</f>
        <v>2870.6696046793845</v>
      </c>
      <c r="N189" s="11">
        <f>IF(Components!O189&gt;0,PPMT(EarningsRate,1,Components!$K189,0,-Components!O189*((1+InflationRate)^Components!$K189),0),M189)</f>
        <v>2870.6696046793845</v>
      </c>
      <c r="O189" s="11">
        <f>IF(Components!P189&gt;0,PPMT(EarningsRate,1,Components!$K189,0,-Components!P189*((1+InflationRate)^Components!$K189),0),N189)</f>
        <v>2870.6696046793845</v>
      </c>
      <c r="P189" s="11">
        <f>IF(Components!Q189&gt;0,PPMT(EarningsRate,1,Components!$K189,0,-Components!Q189*((1+InflationRate)^Components!$K189),0),O189)</f>
        <v>3528.7859017274377</v>
      </c>
      <c r="Q189" s="11">
        <f>IF(Components!R189&gt;0,PPMT(EarningsRate,1,Components!$K189,0,-Components!R189*((1+InflationRate)^Components!$K189),0),P189)</f>
        <v>3528.7859017274377</v>
      </c>
      <c r="R189" s="11">
        <f>IF(Components!S189&gt;0,PPMT(EarningsRate,1,Components!$K189,0,-Components!S189*((1+InflationRate)^Components!$K189),0),Q189)</f>
        <v>3528.7859017274377</v>
      </c>
      <c r="S189" s="11">
        <f>IF(Components!T189&gt;0,PPMT(EarningsRate,1,Components!$K189,0,-Components!T189*((1+InflationRate)^Components!$K189),0),R189)</f>
        <v>3528.7859017274377</v>
      </c>
      <c r="T189" s="11">
        <f>IF(Components!U189&gt;0,PPMT(EarningsRate,1,Components!$K189,0,-Components!U189*((1+InflationRate)^Components!$K189),0),S189)</f>
        <v>3528.7859017274377</v>
      </c>
      <c r="U189" s="11">
        <f>IF(Components!V189&gt;0,PPMT(EarningsRate,1,Components!$K189,0,-Components!V189*((1+InflationRate)^Components!$K189),0),T189)</f>
        <v>3528.7859017274377</v>
      </c>
      <c r="V189" s="11">
        <f>IF(Components!W189&gt;0,PPMT(EarningsRate,1,Components!$K189,0,-Components!W189*((1+InflationRate)^Components!$K189),0),U189)</f>
        <v>4337.7980711110213</v>
      </c>
      <c r="W189" s="11">
        <f>IF(Components!X189&gt;0,PPMT(EarningsRate,1,Components!$K189,0,-Components!X189*((1+InflationRate)^Components!$K189),0),V189)</f>
        <v>4337.7980711110213</v>
      </c>
      <c r="X189" s="11">
        <f>IF(Components!Y189&gt;0,PPMT(EarningsRate,1,Components!$K189,0,-Components!Y189*((1+InflationRate)^Components!$K189),0),W189)</f>
        <v>4337.7980711110213</v>
      </c>
      <c r="Y189" s="11">
        <f>IF(Components!Z189&gt;0,PPMT(EarningsRate,1,Components!$K189,0,-Components!Z189*((1+InflationRate)^Components!$K189),0),X189)</f>
        <v>4337.7980711110213</v>
      </c>
      <c r="Z189" s="11">
        <f>IF(Components!AA189&gt;0,PPMT(EarningsRate,1,Components!$K189,0,-Components!AA189*((1+InflationRate)^Components!$K189),0),Y189)</f>
        <v>4337.7980711110213</v>
      </c>
      <c r="AA189" s="11">
        <f>IF(Components!AB189&gt;0,PPMT(EarningsRate,1,Components!$K189,0,-Components!AB189*((1+InflationRate)^Components!$K189),0),Z189)</f>
        <v>4337.7980711110213</v>
      </c>
      <c r="AB189" s="11">
        <f>IF(Components!AC189&gt;0,PPMT(EarningsRate,1,Components!$K189,0,-Components!AC189*((1+InflationRate)^Components!$K189),0),AA189)</f>
        <v>5332.2493586089595</v>
      </c>
      <c r="AC189" s="11">
        <f>IF(Components!AD189&gt;0,PPMT(EarningsRate,1,Components!$K189,0,-Components!AD189*((1+InflationRate)^Components!$K189),0),AB189)</f>
        <v>5332.2493586089595</v>
      </c>
      <c r="AD189" s="11">
        <f>IF(Components!AE189&gt;0,PPMT(EarningsRate,1,Components!$K189,0,-Components!AE189*((1+InflationRate)^Components!$K189),0),AC189)</f>
        <v>5332.2493586089595</v>
      </c>
      <c r="AE189" s="11">
        <f>IF(Components!AF189&gt;0,PPMT(EarningsRate,1,Components!$K189,0,-Components!AF189*((1+InflationRate)^Components!$K189),0),AD189)</f>
        <v>5332.2493586089595</v>
      </c>
      <c r="AF189" s="11">
        <f>IF(Components!AG189&gt;0,PPMT(EarningsRate,1,Components!$K189,0,-Components!AG189*((1+InflationRate)^Components!$K189),0),AE189)</f>
        <v>5332.2493586089595</v>
      </c>
      <c r="AG189" s="11">
        <f>IF(Components!AH189&gt;0,PPMT(EarningsRate,1,Components!$K189,0,-Components!AH189*((1+InflationRate)^Components!$K189),0),AF189)</f>
        <v>5332.2493586089595</v>
      </c>
      <c r="AH189" s="11">
        <f>IF(Components!AI189&gt;0,PPMT(EarningsRate,1,Components!$K189,0,-Components!AI189*((1+InflationRate)^Components!$K189),0),AG189)</f>
        <v>6554.514740897278</v>
      </c>
      <c r="AI189" s="11">
        <f>IF(Components!AJ189&gt;0,PPMT(EarningsRate,1,Components!$K189,0,-Components!AJ189*((1+InflationRate)^Components!$K189),0),AH189)</f>
        <v>6554.514740897278</v>
      </c>
      <c r="AJ189" s="11">
        <f>IF(Components!AK189&gt;0,PPMT(EarningsRate,1,Components!$K189,0,-Components!AK189*((1+InflationRate)^Components!$K189),0),AI189)</f>
        <v>6554.514740897278</v>
      </c>
      <c r="AK189" s="11">
        <f>IF(Components!AL189&gt;0,PPMT(EarningsRate,1,Components!$K189,0,-Components!AL189*((1+InflationRate)^Components!$K189),0),AJ189)</f>
        <v>6554.514740897278</v>
      </c>
      <c r="AL189" s="11">
        <f>IF(Components!AM189&gt;0,PPMT(EarningsRate,1,Components!$K189,0,-Components!AM189*((1+InflationRate)^Components!$K189),0),AK189)</f>
        <v>6554.514740897278</v>
      </c>
      <c r="AM189" s="11">
        <f>IF(Components!AN189&gt;0,PPMT(EarningsRate,1,Components!$K189,0,-Components!AN189*((1+InflationRate)^Components!$K189),0),AL189)</f>
        <v>6554.514740897278</v>
      </c>
      <c r="AN189" s="11">
        <f>IF(Components!AO189&gt;0,PPMT(EarningsRate,1,Components!$K189,0,-Components!AO189*((1+InflationRate)^Components!$K189),0),AM189)</f>
        <v>6554.514740897278</v>
      </c>
      <c r="AO189" s="11">
        <f>IF(Components!AP189&gt;0,PPMT(EarningsRate,1,Components!$K189,0,-Components!AP189*((1+InflationRate)^Components!$K189),0),AN189)</f>
        <v>6554.514740897278</v>
      </c>
      <c r="AP189" s="214"/>
      <c r="AQ189" s="11">
        <f t="shared" si="3"/>
        <v>145982.46603925969</v>
      </c>
    </row>
    <row r="190" spans="1:43" s="1" customFormat="1">
      <c r="A190" s="220" t="str">
        <f>Components!B190</f>
        <v>Sealcoat</v>
      </c>
      <c r="B190" s="220" t="str">
        <f>Components!C190</f>
        <v>Parking Lot - Shop</v>
      </c>
      <c r="C190" s="211"/>
      <c r="D190" s="211"/>
      <c r="E190" s="211"/>
      <c r="F190" s="88"/>
      <c r="G190" s="212"/>
      <c r="H190" s="212"/>
      <c r="I190" s="212"/>
      <c r="J190" s="211"/>
      <c r="K190" s="11">
        <f>IF('FF Balance'!H190&gt;=0,PPMT(EarningsRate,1,Components!K190,0,-'FF Balance'!G190,0),0)</f>
        <v>1558.9914967794455</v>
      </c>
      <c r="L190" s="11">
        <f>IF(Components!M190&gt;0,PPMT(EarningsRate,1,Components!$K190,0,-Components!M190*((1+InflationRate)^Components!$K190),0),K190)</f>
        <v>1558.9914967794455</v>
      </c>
      <c r="M190" s="11">
        <f>IF(Components!N190&gt;0,PPMT(EarningsRate,1,Components!$K190,0,-Components!N190*((1+InflationRate)^Components!$K190),0),L190)</f>
        <v>1558.9914967794455</v>
      </c>
      <c r="N190" s="11">
        <f>IF(Components!O190&gt;0,PPMT(EarningsRate,1,Components!$K190,0,-Components!O190*((1+InflationRate)^Components!$K190),0),M190)</f>
        <v>1558.9914967794455</v>
      </c>
      <c r="O190" s="11">
        <f>IF(Components!P190&gt;0,PPMT(EarningsRate,1,Components!$K190,0,-Components!P190*((1+InflationRate)^Components!$K190),0),N190)</f>
        <v>1558.9914967794455</v>
      </c>
      <c r="P190" s="11">
        <f>IF(Components!Q190&gt;0,PPMT(EarningsRate,1,Components!$K190,0,-Components!Q190*((1+InflationRate)^Components!$K190),0),O190)</f>
        <v>1916.3986011419413</v>
      </c>
      <c r="Q190" s="11">
        <f>IF(Components!R190&gt;0,PPMT(EarningsRate,1,Components!$K190,0,-Components!R190*((1+InflationRate)^Components!$K190),0),P190)</f>
        <v>1916.3986011419413</v>
      </c>
      <c r="R190" s="11">
        <f>IF(Components!S190&gt;0,PPMT(EarningsRate,1,Components!$K190,0,-Components!S190*((1+InflationRate)^Components!$K190),0),Q190)</f>
        <v>1916.3986011419413</v>
      </c>
      <c r="S190" s="11">
        <f>IF(Components!T190&gt;0,PPMT(EarningsRate,1,Components!$K190,0,-Components!T190*((1+InflationRate)^Components!$K190),0),R190)</f>
        <v>1916.3986011419413</v>
      </c>
      <c r="T190" s="11">
        <f>IF(Components!U190&gt;0,PPMT(EarningsRate,1,Components!$K190,0,-Components!U190*((1+InflationRate)^Components!$K190),0),S190)</f>
        <v>1916.3986011419413</v>
      </c>
      <c r="U190" s="11">
        <f>IF(Components!V190&gt;0,PPMT(EarningsRate,1,Components!$K190,0,-Components!V190*((1+InflationRate)^Components!$K190),0),T190)</f>
        <v>1916.3986011419413</v>
      </c>
      <c r="V190" s="11">
        <f>IF(Components!W190&gt;0,PPMT(EarningsRate,1,Components!$K190,0,-Components!W190*((1+InflationRate)^Components!$K190),0),U190)</f>
        <v>2355.6988180585445</v>
      </c>
      <c r="W190" s="11">
        <f>IF(Components!X190&gt;0,PPMT(EarningsRate,1,Components!$K190,0,-Components!X190*((1+InflationRate)^Components!$K190),0),V190)</f>
        <v>2355.6988180585445</v>
      </c>
      <c r="X190" s="11">
        <f>IF(Components!Y190&gt;0,PPMT(EarningsRate,1,Components!$K190,0,-Components!Y190*((1+InflationRate)^Components!$K190),0),W190)</f>
        <v>2355.6988180585445</v>
      </c>
      <c r="Y190" s="11">
        <f>IF(Components!Z190&gt;0,PPMT(EarningsRate,1,Components!$K190,0,-Components!Z190*((1+InflationRate)^Components!$K190),0),X190)</f>
        <v>2355.6988180585445</v>
      </c>
      <c r="Z190" s="11">
        <f>IF(Components!AA190&gt;0,PPMT(EarningsRate,1,Components!$K190,0,-Components!AA190*((1+InflationRate)^Components!$K190),0),Y190)</f>
        <v>2355.6988180585445</v>
      </c>
      <c r="AA190" s="11">
        <f>IF(Components!AB190&gt;0,PPMT(EarningsRate,1,Components!$K190,0,-Components!AB190*((1+InflationRate)^Components!$K190),0),Z190)</f>
        <v>2355.6988180585445</v>
      </c>
      <c r="AB190" s="11">
        <f>IF(Components!AC190&gt;0,PPMT(EarningsRate,1,Components!$K190,0,-Components!AC190*((1+InflationRate)^Components!$K190),0),AA190)</f>
        <v>2895.8825803644027</v>
      </c>
      <c r="AC190" s="11">
        <f>IF(Components!AD190&gt;0,PPMT(EarningsRate,1,Components!$K190,0,-Components!AD190*((1+InflationRate)^Components!$K190),0),AB190)</f>
        <v>2895.8825803644027</v>
      </c>
      <c r="AD190" s="11">
        <f>IF(Components!AE190&gt;0,PPMT(EarningsRate,1,Components!$K190,0,-Components!AE190*((1+InflationRate)^Components!$K190),0),AC190)</f>
        <v>2895.8825803644027</v>
      </c>
      <c r="AE190" s="11">
        <f>IF(Components!AF190&gt;0,PPMT(EarningsRate,1,Components!$K190,0,-Components!AF190*((1+InflationRate)^Components!$K190),0),AD190)</f>
        <v>2895.8825803644027</v>
      </c>
      <c r="AF190" s="11">
        <f>IF(Components!AG190&gt;0,PPMT(EarningsRate,1,Components!$K190,0,-Components!AG190*((1+InflationRate)^Components!$K190),0),AE190)</f>
        <v>2895.8825803644027</v>
      </c>
      <c r="AG190" s="11">
        <f>IF(Components!AH190&gt;0,PPMT(EarningsRate,1,Components!$K190,0,-Components!AH190*((1+InflationRate)^Components!$K190),0),AF190)</f>
        <v>2895.8825803644027</v>
      </c>
      <c r="AH190" s="11">
        <f>IF(Components!AI190&gt;0,PPMT(EarningsRate,1,Components!$K190,0,-Components!AI190*((1+InflationRate)^Components!$K190),0),AG190)</f>
        <v>3559.6924214131632</v>
      </c>
      <c r="AI190" s="11">
        <f>IF(Components!AJ190&gt;0,PPMT(EarningsRate,1,Components!$K190,0,-Components!AJ190*((1+InflationRate)^Components!$K190),0),AH190)</f>
        <v>3559.6924214131632</v>
      </c>
      <c r="AJ190" s="11">
        <f>IF(Components!AK190&gt;0,PPMT(EarningsRate,1,Components!$K190,0,-Components!AK190*((1+InflationRate)^Components!$K190),0),AI190)</f>
        <v>3559.6924214131632</v>
      </c>
      <c r="AK190" s="11">
        <f>IF(Components!AL190&gt;0,PPMT(EarningsRate,1,Components!$K190,0,-Components!AL190*((1+InflationRate)^Components!$K190),0),AJ190)</f>
        <v>3559.6924214131632</v>
      </c>
      <c r="AL190" s="11">
        <f>IF(Components!AM190&gt;0,PPMT(EarningsRate,1,Components!$K190,0,-Components!AM190*((1+InflationRate)^Components!$K190),0),AK190)</f>
        <v>3559.6924214131632</v>
      </c>
      <c r="AM190" s="11">
        <f>IF(Components!AN190&gt;0,PPMT(EarningsRate,1,Components!$K190,0,-Components!AN190*((1+InflationRate)^Components!$K190),0),AL190)</f>
        <v>3559.6924214131632</v>
      </c>
      <c r="AN190" s="11">
        <f>IF(Components!AO190&gt;0,PPMT(EarningsRate,1,Components!$K190,0,-Components!AO190*((1+InflationRate)^Components!$K190),0),AM190)</f>
        <v>3559.6924214131632</v>
      </c>
      <c r="AO190" s="11">
        <f>IF(Components!AP190&gt;0,PPMT(EarningsRate,1,Components!$K190,0,-Components!AP190*((1+InflationRate)^Components!$K190),0),AN190)</f>
        <v>3559.6924214131632</v>
      </c>
      <c r="AP190" s="214"/>
      <c r="AQ190" s="11">
        <f t="shared" si="3"/>
        <v>79280.376952591832</v>
      </c>
    </row>
    <row r="191" spans="1:43" s="1" customFormat="1">
      <c r="A191" s="220" t="str">
        <f>Components!B191</f>
        <v>Sealcoat</v>
      </c>
      <c r="B191" s="220" t="str">
        <f>Components!C191</f>
        <v>RV Lot</v>
      </c>
      <c r="C191" s="211"/>
      <c r="D191" s="211"/>
      <c r="E191" s="211"/>
      <c r="F191" s="88"/>
      <c r="G191" s="212"/>
      <c r="H191" s="212"/>
      <c r="I191" s="212"/>
      <c r="J191" s="211"/>
      <c r="K191" s="11">
        <f>IF('FF Balance'!H191&gt;=0,PPMT(EarningsRate,1,Components!K191,0,-'FF Balance'!G191,0),0)</f>
        <v>3570.3893909912867</v>
      </c>
      <c r="L191" s="11">
        <f>IF(Components!M191&gt;0,PPMT(EarningsRate,1,Components!$K191,0,-Components!M191*((1+InflationRate)^Components!$K191),0),K191)</f>
        <v>3570.3893909912867</v>
      </c>
      <c r="M191" s="11">
        <f>IF(Components!N191&gt;0,PPMT(EarningsRate,1,Components!$K191,0,-Components!N191*((1+InflationRate)^Components!$K191),0),L191)</f>
        <v>4388.9201759999887</v>
      </c>
      <c r="N191" s="11">
        <f>IF(Components!O191&gt;0,PPMT(EarningsRate,1,Components!$K191,0,-Components!O191*((1+InflationRate)^Components!$K191),0),M191)</f>
        <v>4388.9201759999887</v>
      </c>
      <c r="O191" s="11">
        <f>IF(Components!P191&gt;0,PPMT(EarningsRate,1,Components!$K191,0,-Components!P191*((1+InflationRate)^Components!$K191),0),N191)</f>
        <v>4388.9201759999887</v>
      </c>
      <c r="P191" s="11">
        <f>IF(Components!Q191&gt;0,PPMT(EarningsRate,1,Components!$K191,0,-Components!Q191*((1+InflationRate)^Components!$K191),0),O191)</f>
        <v>4388.9201759999887</v>
      </c>
      <c r="Q191" s="11">
        <f>IF(Components!R191&gt;0,PPMT(EarningsRate,1,Components!$K191,0,-Components!R191*((1+InflationRate)^Components!$K191),0),P191)</f>
        <v>4388.9201759999887</v>
      </c>
      <c r="R191" s="11">
        <f>IF(Components!S191&gt;0,PPMT(EarningsRate,1,Components!$K191,0,-Components!S191*((1+InflationRate)^Components!$K191),0),Q191)</f>
        <v>4388.9201759999887</v>
      </c>
      <c r="S191" s="11">
        <f>IF(Components!T191&gt;0,PPMT(EarningsRate,1,Components!$K191,0,-Components!T191*((1+InflationRate)^Components!$K191),0),R191)</f>
        <v>5395.2286817421364</v>
      </c>
      <c r="T191" s="11">
        <f>IF(Components!U191&gt;0,PPMT(EarningsRate,1,Components!$K191,0,-Components!U191*((1+InflationRate)^Components!$K191),0),S191)</f>
        <v>5395.2286817421364</v>
      </c>
      <c r="U191" s="11">
        <f>IF(Components!V191&gt;0,PPMT(EarningsRate,1,Components!$K191,0,-Components!V191*((1+InflationRate)^Components!$K191),0),T191)</f>
        <v>5395.2286817421364</v>
      </c>
      <c r="V191" s="11">
        <f>IF(Components!W191&gt;0,PPMT(EarningsRate,1,Components!$K191,0,-Components!W191*((1+InflationRate)^Components!$K191),0),U191)</f>
        <v>5395.2286817421364</v>
      </c>
      <c r="W191" s="11">
        <f>IF(Components!X191&gt;0,PPMT(EarningsRate,1,Components!$K191,0,-Components!X191*((1+InflationRate)^Components!$K191),0),V191)</f>
        <v>5395.2286817421364</v>
      </c>
      <c r="X191" s="11">
        <f>IF(Components!Y191&gt;0,PPMT(EarningsRate,1,Components!$K191,0,-Components!Y191*((1+InflationRate)^Components!$K191),0),W191)</f>
        <v>5395.2286817421364</v>
      </c>
      <c r="Y191" s="11">
        <f>IF(Components!Z191&gt;0,PPMT(EarningsRate,1,Components!$K191,0,-Components!Z191*((1+InflationRate)^Components!$K191),0),X191)</f>
        <v>6632.0726110520236</v>
      </c>
      <c r="Z191" s="11">
        <f>IF(Components!AA191&gt;0,PPMT(EarningsRate,1,Components!$K191,0,-Components!AA191*((1+InflationRate)^Components!$K191),0),Y191)</f>
        <v>6632.0726110520236</v>
      </c>
      <c r="AA191" s="11">
        <f>IF(Components!AB191&gt;0,PPMT(EarningsRate,1,Components!$K191,0,-Components!AB191*((1+InflationRate)^Components!$K191),0),Z191)</f>
        <v>6632.0726110520236</v>
      </c>
      <c r="AB191" s="11">
        <f>IF(Components!AC191&gt;0,PPMT(EarningsRate,1,Components!$K191,0,-Components!AC191*((1+InflationRate)^Components!$K191),0),AA191)</f>
        <v>6632.0726110520236</v>
      </c>
      <c r="AC191" s="11">
        <f>IF(Components!AD191&gt;0,PPMT(EarningsRate,1,Components!$K191,0,-Components!AD191*((1+InflationRate)^Components!$K191),0),AB191)</f>
        <v>6632.0726110520236</v>
      </c>
      <c r="AD191" s="11">
        <f>IF(Components!AE191&gt;0,PPMT(EarningsRate,1,Components!$K191,0,-Components!AE191*((1+InflationRate)^Components!$K191),0),AC191)</f>
        <v>6632.0726110520236</v>
      </c>
      <c r="AE191" s="11">
        <f>IF(Components!AF191&gt;0,PPMT(EarningsRate,1,Components!$K191,0,-Components!AF191*((1+InflationRate)^Components!$K191),0),AD191)</f>
        <v>8152.5178750881578</v>
      </c>
      <c r="AF191" s="11">
        <f>IF(Components!AG191&gt;0,PPMT(EarningsRate,1,Components!$K191,0,-Components!AG191*((1+InflationRate)^Components!$K191),0),AE191)</f>
        <v>8152.5178750881578</v>
      </c>
      <c r="AG191" s="11">
        <f>IF(Components!AH191&gt;0,PPMT(EarningsRate,1,Components!$K191,0,-Components!AH191*((1+InflationRate)^Components!$K191),0),AF191)</f>
        <v>8152.5178750881578</v>
      </c>
      <c r="AH191" s="11">
        <f>IF(Components!AI191&gt;0,PPMT(EarningsRate,1,Components!$K191,0,-Components!AI191*((1+InflationRate)^Components!$K191),0),AG191)</f>
        <v>8152.5178750881578</v>
      </c>
      <c r="AI191" s="11">
        <f>IF(Components!AJ191&gt;0,PPMT(EarningsRate,1,Components!$K191,0,-Components!AJ191*((1+InflationRate)^Components!$K191),0),AH191)</f>
        <v>8152.5178750881578</v>
      </c>
      <c r="AJ191" s="11">
        <f>IF(Components!AK191&gt;0,PPMT(EarningsRate,1,Components!$K191,0,-Components!AK191*((1+InflationRate)^Components!$K191),0),AI191)</f>
        <v>8152.5178750881578</v>
      </c>
      <c r="AK191" s="11">
        <f>IF(Components!AL191&gt;0,PPMT(EarningsRate,1,Components!$K191,0,-Components!AL191*((1+InflationRate)^Components!$K191),0),AJ191)</f>
        <v>8152.5178750881578</v>
      </c>
      <c r="AL191" s="11">
        <f>IF(Components!AM191&gt;0,PPMT(EarningsRate,1,Components!$K191,0,-Components!AM191*((1+InflationRate)^Components!$K191),0),AK191)</f>
        <v>8152.5178750881578</v>
      </c>
      <c r="AM191" s="11">
        <f>IF(Components!AN191&gt;0,PPMT(EarningsRate,1,Components!$K191,0,-Components!AN191*((1+InflationRate)^Components!$K191),0),AL191)</f>
        <v>8152.5178750881578</v>
      </c>
      <c r="AN191" s="11">
        <f>IF(Components!AO191&gt;0,PPMT(EarningsRate,1,Components!$K191,0,-Components!AO191*((1+InflationRate)^Components!$K191),0),AM191)</f>
        <v>8152.5178750881578</v>
      </c>
      <c r="AO191" s="11">
        <f>IF(Components!AP191&gt;0,PPMT(EarningsRate,1,Components!$K191,0,-Components!AP191*((1+InflationRate)^Components!$K191),0),AN191)</f>
        <v>8152.5178750881578</v>
      </c>
      <c r="AP191" s="214"/>
      <c r="AQ191" s="11">
        <f t="shared" si="3"/>
        <v>195315.80432071708</v>
      </c>
    </row>
    <row r="192" spans="1:43" s="211" customFormat="1" ht="6" customHeight="1" thickBot="1">
      <c r="A192" s="220"/>
      <c r="B192" s="220"/>
      <c r="F192" s="88"/>
      <c r="G192" s="212"/>
      <c r="H192" s="212"/>
      <c r="I192" s="212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214"/>
      <c r="AQ192" s="11"/>
    </row>
    <row r="193" spans="1:43" s="1" customFormat="1" ht="16" thickBot="1">
      <c r="A193" s="223" t="s">
        <v>161</v>
      </c>
      <c r="B193" s="224"/>
      <c r="C193" s="211"/>
      <c r="D193" s="211"/>
      <c r="E193" s="211"/>
      <c r="F193" s="212"/>
      <c r="G193" s="212"/>
      <c r="H193" s="212"/>
      <c r="I193" s="212"/>
      <c r="J193" s="211"/>
      <c r="K193" s="217">
        <f>SUM(K3:K191)</f>
        <v>453331.86938429723</v>
      </c>
      <c r="L193" s="217">
        <f t="shared" ref="L193:AQ193" si="4">SUM(L3:L191)</f>
        <v>465129.08556201652</v>
      </c>
      <c r="M193" s="217">
        <f t="shared" si="4"/>
        <v>470712.86607160437</v>
      </c>
      <c r="N193" s="217">
        <f t="shared" si="4"/>
        <v>496463.96334778221</v>
      </c>
      <c r="O193" s="217">
        <f t="shared" si="4"/>
        <v>509025.49878634972</v>
      </c>
      <c r="P193" s="217">
        <f t="shared" si="4"/>
        <v>529140.42234167061</v>
      </c>
      <c r="Q193" s="217">
        <f t="shared" si="4"/>
        <v>530865.40211523033</v>
      </c>
      <c r="R193" s="217">
        <f t="shared" si="4"/>
        <v>535490.83395775442</v>
      </c>
      <c r="S193" s="217">
        <f t="shared" si="4"/>
        <v>600358.21870706591</v>
      </c>
      <c r="T193" s="217">
        <f t="shared" si="4"/>
        <v>613447.19531133224</v>
      </c>
      <c r="U193" s="217">
        <f t="shared" si="4"/>
        <v>618911.23957612831</v>
      </c>
      <c r="V193" s="217">
        <f t="shared" si="4"/>
        <v>632077.54887736856</v>
      </c>
      <c r="W193" s="217">
        <f t="shared" si="4"/>
        <v>649364.92659885297</v>
      </c>
      <c r="X193" s="217">
        <f t="shared" si="4"/>
        <v>693751.02022010472</v>
      </c>
      <c r="Y193" s="217">
        <f t="shared" si="4"/>
        <v>704343.69928131998</v>
      </c>
      <c r="Z193" s="217">
        <f t="shared" si="4"/>
        <v>713078.17203119094</v>
      </c>
      <c r="AA193" s="217">
        <f t="shared" si="4"/>
        <v>735771.1013122804</v>
      </c>
      <c r="AB193" s="217">
        <f t="shared" si="4"/>
        <v>792533.78708691313</v>
      </c>
      <c r="AC193" s="217">
        <f t="shared" si="4"/>
        <v>841240.60280724568</v>
      </c>
      <c r="AD193" s="217">
        <f t="shared" si="4"/>
        <v>868003.86988066137</v>
      </c>
      <c r="AE193" s="217">
        <f t="shared" si="4"/>
        <v>903067.07811459445</v>
      </c>
      <c r="AF193" s="217">
        <f t="shared" si="4"/>
        <v>924726.25168554077</v>
      </c>
      <c r="AG193" s="217">
        <f t="shared" si="4"/>
        <v>934972.55758429726</v>
      </c>
      <c r="AH193" s="217">
        <f t="shared" si="4"/>
        <v>1072215.2681850872</v>
      </c>
      <c r="AI193" s="217">
        <f t="shared" si="4"/>
        <v>1098416.1851136654</v>
      </c>
      <c r="AJ193" s="217">
        <f t="shared" si="4"/>
        <v>1138211.80449532</v>
      </c>
      <c r="AK193" s="217">
        <f t="shared" si="4"/>
        <v>1152394.341077015</v>
      </c>
      <c r="AL193" s="217">
        <f t="shared" si="4"/>
        <v>1170016.2258725511</v>
      </c>
      <c r="AM193" s="217">
        <f t="shared" si="4"/>
        <v>1183069.6025558203</v>
      </c>
      <c r="AN193" s="217">
        <f t="shared" si="4"/>
        <v>1225591.1231881198</v>
      </c>
      <c r="AO193" s="217">
        <f t="shared" si="4"/>
        <v>1238523.1017879788</v>
      </c>
      <c r="AP193" s="217">
        <f t="shared" si="4"/>
        <v>0</v>
      </c>
      <c r="AQ193" s="217">
        <f t="shared" si="4"/>
        <v>24494244.881817173</v>
      </c>
    </row>
    <row r="194" spans="1:43" s="1" customFormat="1">
      <c r="A194" s="220" t="s">
        <v>150</v>
      </c>
      <c r="B194" s="225"/>
      <c r="C194" s="211"/>
      <c r="D194" s="211"/>
      <c r="E194" s="211"/>
      <c r="F194" s="212"/>
      <c r="G194" s="212"/>
      <c r="H194" s="212"/>
      <c r="I194" s="212"/>
      <c r="J194" s="211"/>
      <c r="K194" s="215">
        <v>0</v>
      </c>
      <c r="L194" s="215">
        <v>0</v>
      </c>
      <c r="M194" s="215">
        <v>0</v>
      </c>
      <c r="N194" s="215">
        <v>0</v>
      </c>
      <c r="O194" s="215">
        <v>0</v>
      </c>
      <c r="P194" s="215">
        <v>0</v>
      </c>
      <c r="Q194" s="215">
        <v>0</v>
      </c>
      <c r="R194" s="215">
        <v>0</v>
      </c>
      <c r="S194" s="215">
        <v>0</v>
      </c>
      <c r="T194" s="215">
        <v>0</v>
      </c>
      <c r="U194" s="215">
        <v>0</v>
      </c>
      <c r="V194" s="215">
        <v>0</v>
      </c>
      <c r="W194" s="215">
        <v>0</v>
      </c>
      <c r="X194" s="215">
        <v>0</v>
      </c>
      <c r="Y194" s="215">
        <v>0</v>
      </c>
      <c r="Z194" s="215">
        <v>0</v>
      </c>
      <c r="AA194" s="215">
        <v>0</v>
      </c>
      <c r="AB194" s="215">
        <v>0</v>
      </c>
      <c r="AC194" s="215">
        <v>0</v>
      </c>
      <c r="AD194" s="215">
        <v>0</v>
      </c>
      <c r="AE194" s="215">
        <v>0</v>
      </c>
      <c r="AF194" s="215">
        <v>0</v>
      </c>
      <c r="AG194" s="215">
        <v>0</v>
      </c>
      <c r="AH194" s="215">
        <v>0</v>
      </c>
      <c r="AI194" s="215">
        <v>0</v>
      </c>
      <c r="AJ194" s="215">
        <v>0</v>
      </c>
      <c r="AK194" s="215">
        <v>0</v>
      </c>
      <c r="AL194" s="215">
        <v>0</v>
      </c>
      <c r="AM194" s="215">
        <v>0</v>
      </c>
      <c r="AN194" s="215">
        <v>0</v>
      </c>
      <c r="AO194" s="215">
        <v>0</v>
      </c>
      <c r="AP194" s="214"/>
      <c r="AQ194" s="216">
        <v>0</v>
      </c>
    </row>
    <row r="195" spans="1:43" s="1" customFormat="1" ht="16" thickBot="1">
      <c r="A195" s="220" t="s">
        <v>158</v>
      </c>
      <c r="B195" s="225"/>
      <c r="C195" s="211"/>
      <c r="D195" s="211"/>
      <c r="E195" s="211"/>
      <c r="F195" s="212"/>
      <c r="G195" s="212"/>
      <c r="H195" s="212"/>
      <c r="I195" s="212"/>
      <c r="J195" s="211"/>
      <c r="K195" s="215">
        <v>0</v>
      </c>
      <c r="L195" s="215">
        <v>0</v>
      </c>
      <c r="M195" s="215">
        <v>0</v>
      </c>
      <c r="N195" s="215">
        <v>0</v>
      </c>
      <c r="O195" s="215">
        <v>0</v>
      </c>
      <c r="P195" s="215">
        <v>0</v>
      </c>
      <c r="Q195" s="215">
        <v>0</v>
      </c>
      <c r="R195" s="215">
        <v>0</v>
      </c>
      <c r="S195" s="215">
        <v>0</v>
      </c>
      <c r="T195" s="215">
        <v>0</v>
      </c>
      <c r="U195" s="215">
        <v>0</v>
      </c>
      <c r="V195" s="215">
        <v>0</v>
      </c>
      <c r="W195" s="215">
        <v>0</v>
      </c>
      <c r="X195" s="215">
        <v>0</v>
      </c>
      <c r="Y195" s="215">
        <v>0</v>
      </c>
      <c r="Z195" s="215">
        <v>0</v>
      </c>
      <c r="AA195" s="215">
        <v>0</v>
      </c>
      <c r="AB195" s="215">
        <v>0</v>
      </c>
      <c r="AC195" s="215">
        <v>0</v>
      </c>
      <c r="AD195" s="215">
        <v>0</v>
      </c>
      <c r="AE195" s="215">
        <v>0</v>
      </c>
      <c r="AF195" s="215">
        <v>0</v>
      </c>
      <c r="AG195" s="215">
        <v>0</v>
      </c>
      <c r="AH195" s="215">
        <v>0</v>
      </c>
      <c r="AI195" s="215">
        <v>0</v>
      </c>
      <c r="AJ195" s="215">
        <v>0</v>
      </c>
      <c r="AK195" s="215">
        <v>0</v>
      </c>
      <c r="AL195" s="215">
        <v>0</v>
      </c>
      <c r="AM195" s="215">
        <v>0</v>
      </c>
      <c r="AN195" s="215">
        <v>0</v>
      </c>
      <c r="AO195" s="215">
        <v>0</v>
      </c>
      <c r="AP195" s="214"/>
      <c r="AQ195" s="216">
        <v>0</v>
      </c>
    </row>
    <row r="196" spans="1:43" s="1" customFormat="1" ht="16" thickBot="1">
      <c r="A196" s="223" t="s">
        <v>162</v>
      </c>
      <c r="B196" s="224"/>
      <c r="C196" s="211"/>
      <c r="D196" s="211"/>
      <c r="E196" s="211"/>
      <c r="F196" s="212"/>
      <c r="G196" s="212"/>
      <c r="H196" s="212"/>
      <c r="I196" s="212"/>
      <c r="J196" s="211"/>
      <c r="K196" s="217">
        <f>(K193-K194-K195)</f>
        <v>453331.86938429723</v>
      </c>
      <c r="L196" s="217">
        <f t="shared" ref="L196:AQ196" si="5">(L193-L194-L195)</f>
        <v>465129.08556201652</v>
      </c>
      <c r="M196" s="217">
        <f t="shared" si="5"/>
        <v>470712.86607160437</v>
      </c>
      <c r="N196" s="217">
        <f t="shared" si="5"/>
        <v>496463.96334778221</v>
      </c>
      <c r="O196" s="217">
        <f t="shared" si="5"/>
        <v>509025.49878634972</v>
      </c>
      <c r="P196" s="217">
        <f t="shared" si="5"/>
        <v>529140.42234167061</v>
      </c>
      <c r="Q196" s="217">
        <f t="shared" si="5"/>
        <v>530865.40211523033</v>
      </c>
      <c r="R196" s="217">
        <f t="shared" si="5"/>
        <v>535490.83395775442</v>
      </c>
      <c r="S196" s="217">
        <f t="shared" si="5"/>
        <v>600358.21870706591</v>
      </c>
      <c r="T196" s="217">
        <f t="shared" si="5"/>
        <v>613447.19531133224</v>
      </c>
      <c r="U196" s="217">
        <f t="shared" si="5"/>
        <v>618911.23957612831</v>
      </c>
      <c r="V196" s="217">
        <f t="shared" si="5"/>
        <v>632077.54887736856</v>
      </c>
      <c r="W196" s="217">
        <f t="shared" si="5"/>
        <v>649364.92659885297</v>
      </c>
      <c r="X196" s="217">
        <f t="shared" si="5"/>
        <v>693751.02022010472</v>
      </c>
      <c r="Y196" s="217">
        <f t="shared" si="5"/>
        <v>704343.69928131998</v>
      </c>
      <c r="Z196" s="217">
        <f t="shared" si="5"/>
        <v>713078.17203119094</v>
      </c>
      <c r="AA196" s="217">
        <f t="shared" si="5"/>
        <v>735771.1013122804</v>
      </c>
      <c r="AB196" s="217">
        <f t="shared" si="5"/>
        <v>792533.78708691313</v>
      </c>
      <c r="AC196" s="217">
        <f t="shared" si="5"/>
        <v>841240.60280724568</v>
      </c>
      <c r="AD196" s="217">
        <f t="shared" si="5"/>
        <v>868003.86988066137</v>
      </c>
      <c r="AE196" s="217">
        <f t="shared" si="5"/>
        <v>903067.07811459445</v>
      </c>
      <c r="AF196" s="217">
        <f t="shared" si="5"/>
        <v>924726.25168554077</v>
      </c>
      <c r="AG196" s="217">
        <f t="shared" si="5"/>
        <v>934972.55758429726</v>
      </c>
      <c r="AH196" s="217">
        <f t="shared" si="5"/>
        <v>1072215.2681850872</v>
      </c>
      <c r="AI196" s="217">
        <f t="shared" si="5"/>
        <v>1098416.1851136654</v>
      </c>
      <c r="AJ196" s="217">
        <f t="shared" si="5"/>
        <v>1138211.80449532</v>
      </c>
      <c r="AK196" s="217">
        <f t="shared" si="5"/>
        <v>1152394.341077015</v>
      </c>
      <c r="AL196" s="217">
        <f t="shared" si="5"/>
        <v>1170016.2258725511</v>
      </c>
      <c r="AM196" s="217">
        <f t="shared" si="5"/>
        <v>1183069.6025558203</v>
      </c>
      <c r="AN196" s="217">
        <f t="shared" si="5"/>
        <v>1225591.1231881198</v>
      </c>
      <c r="AO196" s="217">
        <f t="shared" si="5"/>
        <v>1238523.1017879788</v>
      </c>
      <c r="AP196" s="217">
        <f t="shared" si="5"/>
        <v>0</v>
      </c>
      <c r="AQ196" s="217">
        <f t="shared" si="5"/>
        <v>24494244.881817173</v>
      </c>
    </row>
    <row r="197" spans="1:43" s="1" customFormat="1">
      <c r="A197" s="220"/>
      <c r="B197" s="222"/>
      <c r="C197" s="211"/>
      <c r="D197" s="211"/>
      <c r="E197" s="211"/>
      <c r="F197" s="211"/>
      <c r="G197" s="212"/>
      <c r="H197" s="212"/>
      <c r="I197" s="212"/>
      <c r="J197" s="211"/>
      <c r="K197" s="211"/>
      <c r="L197" s="213">
        <f>(L196/K196)-1</f>
        <v>2.6023355017466443E-2</v>
      </c>
      <c r="M197" s="213">
        <f t="shared" ref="M197:AO197" si="6">(M196/L196)-1</f>
        <v>1.2004797556018021E-2</v>
      </c>
      <c r="N197" s="213">
        <f t="shared" si="6"/>
        <v>5.470659319573512E-2</v>
      </c>
      <c r="O197" s="213">
        <f t="shared" si="6"/>
        <v>2.5302008536252973E-2</v>
      </c>
      <c r="P197" s="213">
        <f t="shared" si="6"/>
        <v>3.9516534246869961E-2</v>
      </c>
      <c r="Q197" s="213">
        <f t="shared" si="6"/>
        <v>3.2599659763772326E-3</v>
      </c>
      <c r="R197" s="213">
        <f t="shared" si="6"/>
        <v>8.7130030024449301E-3</v>
      </c>
      <c r="S197" s="213">
        <f t="shared" si="6"/>
        <v>0.1211363120258917</v>
      </c>
      <c r="T197" s="213">
        <f t="shared" si="6"/>
        <v>2.1801944566453679E-2</v>
      </c>
      <c r="U197" s="213">
        <f t="shared" si="6"/>
        <v>8.9071142660013258E-3</v>
      </c>
      <c r="V197" s="213">
        <f t="shared" si="6"/>
        <v>2.1273340116197303E-2</v>
      </c>
      <c r="W197" s="213">
        <f t="shared" si="6"/>
        <v>2.7350089798614752E-2</v>
      </c>
      <c r="X197" s="213">
        <f t="shared" si="6"/>
        <v>6.835308130011053E-2</v>
      </c>
      <c r="Y197" s="213">
        <f t="shared" si="6"/>
        <v>1.5268704120758647E-2</v>
      </c>
      <c r="Z197" s="213">
        <f t="shared" si="6"/>
        <v>1.2400867302118534E-2</v>
      </c>
      <c r="AA197" s="213">
        <f t="shared" si="6"/>
        <v>3.1823901181057046E-2</v>
      </c>
      <c r="AB197" s="213">
        <f t="shared" si="6"/>
        <v>7.7147207430944054E-2</v>
      </c>
      <c r="AC197" s="213">
        <f t="shared" si="6"/>
        <v>6.1457084245407856E-2</v>
      </c>
      <c r="AD197" s="213">
        <f t="shared" si="6"/>
        <v>3.181404580818592E-2</v>
      </c>
      <c r="AE197" s="213">
        <f t="shared" si="6"/>
        <v>4.0395221093603828E-2</v>
      </c>
      <c r="AF197" s="213">
        <f t="shared" si="6"/>
        <v>2.3984014140085774E-2</v>
      </c>
      <c r="AG197" s="213">
        <f t="shared" si="6"/>
        <v>1.1080366627507443E-2</v>
      </c>
      <c r="AH197" s="213">
        <f t="shared" si="6"/>
        <v>0.14678795595390093</v>
      </c>
      <c r="AI197" s="213">
        <f t="shared" si="6"/>
        <v>2.4436246811638807E-2</v>
      </c>
      <c r="AJ197" s="213">
        <f t="shared" si="6"/>
        <v>3.623000090583739E-2</v>
      </c>
      <c r="AK197" s="213">
        <f t="shared" si="6"/>
        <v>1.2460366801400058E-2</v>
      </c>
      <c r="AL197" s="213">
        <f t="shared" si="6"/>
        <v>1.5291540549450033E-2</v>
      </c>
      <c r="AM197" s="213">
        <f t="shared" si="6"/>
        <v>1.1156577485525343E-2</v>
      </c>
      <c r="AN197" s="213">
        <f t="shared" si="6"/>
        <v>3.5941689770778495E-2</v>
      </c>
      <c r="AO197" s="213">
        <f t="shared" si="6"/>
        <v>1.055162554230904E-2</v>
      </c>
      <c r="AP197" s="214"/>
      <c r="AQ197" s="211"/>
    </row>
    <row r="198" spans="1:43" s="1" customFormat="1">
      <c r="A198" s="221" t="s">
        <v>163</v>
      </c>
      <c r="B198" s="210"/>
      <c r="C198" s="210"/>
      <c r="D198" s="210"/>
      <c r="E198" s="210"/>
      <c r="F198" s="210"/>
      <c r="G198" s="210"/>
      <c r="H198" s="210"/>
      <c r="I198" s="210"/>
      <c r="J198" s="210"/>
      <c r="K198" s="218">
        <f>(K196/2426/12)</f>
        <v>15.571993314931893</v>
      </c>
      <c r="L198" s="218">
        <f t="shared" ref="L198:AO198" si="7">(L196/2426/12)</f>
        <v>15.977228825295979</v>
      </c>
      <c r="M198" s="218">
        <f t="shared" si="7"/>
        <v>16.169032222849832</v>
      </c>
      <c r="N198" s="218">
        <f t="shared" si="7"/>
        <v>17.053584891034014</v>
      </c>
      <c r="O198" s="218">
        <f t="shared" si="7"/>
        <v>17.485074841520667</v>
      </c>
      <c r="P198" s="218">
        <f t="shared" si="7"/>
        <v>18.176024400304708</v>
      </c>
      <c r="Q198" s="218">
        <f t="shared" si="7"/>
        <v>18.235277621435504</v>
      </c>
      <c r="R198" s="218">
        <f t="shared" si="7"/>
        <v>18.394161650101484</v>
      </c>
      <c r="S198" s="218">
        <f t="shared" si="7"/>
        <v>20.622362555202869</v>
      </c>
      <c r="T198" s="218">
        <f t="shared" si="7"/>
        <v>21.071970160460712</v>
      </c>
      <c r="U198" s="218">
        <f t="shared" si="7"/>
        <v>21.259660606489707</v>
      </c>
      <c r="V198" s="218">
        <f t="shared" si="7"/>
        <v>21.711924597326483</v>
      </c>
      <c r="W198" s="218">
        <f t="shared" si="7"/>
        <v>22.305747684764118</v>
      </c>
      <c r="X198" s="218">
        <f t="shared" si="7"/>
        <v>23.830414269720553</v>
      </c>
      <c r="Y198" s="218">
        <f t="shared" si="7"/>
        <v>24.19427381428002</v>
      </c>
      <c r="Z198" s="218">
        <f t="shared" si="7"/>
        <v>24.494303793322032</v>
      </c>
      <c r="AA198" s="218">
        <f t="shared" si="7"/>
        <v>25.273808096739501</v>
      </c>
      <c r="AB198" s="218">
        <f t="shared" si="7"/>
        <v>27.22361181254854</v>
      </c>
      <c r="AC198" s="218">
        <f t="shared" si="7"/>
        <v>28.896695617176618</v>
      </c>
      <c r="AD198" s="218">
        <f t="shared" si="7"/>
        <v>29.816016415246679</v>
      </c>
      <c r="AE198" s="218">
        <f t="shared" si="7"/>
        <v>31.020440990471091</v>
      </c>
      <c r="AF198" s="218">
        <f t="shared" si="7"/>
        <v>31.764435685818246</v>
      </c>
      <c r="AG198" s="218">
        <f t="shared" si="7"/>
        <v>32.116397278932993</v>
      </c>
      <c r="AH198" s="218">
        <f t="shared" si="7"/>
        <v>36.830697588110993</v>
      </c>
      <c r="AI198" s="218">
        <f t="shared" si="7"/>
        <v>37.730701604618901</v>
      </c>
      <c r="AJ198" s="218">
        <f t="shared" si="7"/>
        <v>39.097684957932124</v>
      </c>
      <c r="AK198" s="218">
        <f t="shared" si="7"/>
        <v>39.584856453593538</v>
      </c>
      <c r="AL198" s="218">
        <f t="shared" si="7"/>
        <v>40.190169891197826</v>
      </c>
      <c r="AM198" s="218">
        <f t="shared" si="7"/>
        <v>40.638554635745407</v>
      </c>
      <c r="AN198" s="218">
        <f t="shared" si="7"/>
        <v>42.099172959196203</v>
      </c>
      <c r="AO198" s="218">
        <f t="shared" si="7"/>
        <v>42.543387667902543</v>
      </c>
      <c r="AP198" s="53"/>
      <c r="AQ198" s="11"/>
    </row>
    <row r="199" spans="1:43" s="1" customFormat="1">
      <c r="A199" s="22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8"/>
      <c r="AN199" s="218"/>
      <c r="AO199" s="218"/>
      <c r="AP199" s="53"/>
      <c r="AQ199" s="11"/>
    </row>
    <row r="200" spans="1:43" s="1" customFormat="1">
      <c r="A200" s="221" t="s">
        <v>164</v>
      </c>
      <c r="B200" s="210"/>
      <c r="C200" s="210"/>
      <c r="D200" s="210"/>
      <c r="E200" s="210"/>
      <c r="F200" s="210"/>
      <c r="G200" s="210"/>
      <c r="H200" s="210"/>
      <c r="I200" s="210"/>
      <c r="J200" s="210"/>
      <c r="K200" s="219">
        <f>SUM(K198:K199)</f>
        <v>15.571993314931893</v>
      </c>
      <c r="L200" s="219">
        <f t="shared" ref="L200:Q200" si="8">SUM(L198:L199)</f>
        <v>15.977228825295979</v>
      </c>
      <c r="M200" s="219">
        <f t="shared" si="8"/>
        <v>16.169032222849832</v>
      </c>
      <c r="N200" s="219">
        <f t="shared" si="8"/>
        <v>17.053584891034014</v>
      </c>
      <c r="O200" s="219">
        <f t="shared" si="8"/>
        <v>17.485074841520667</v>
      </c>
      <c r="P200" s="219">
        <f t="shared" si="8"/>
        <v>18.176024400304708</v>
      </c>
      <c r="Q200" s="219">
        <f t="shared" si="8"/>
        <v>18.235277621435504</v>
      </c>
      <c r="R200" s="218"/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8"/>
      <c r="AH200" s="218"/>
      <c r="AI200" s="218"/>
      <c r="AJ200" s="218"/>
      <c r="AK200" s="218"/>
      <c r="AL200" s="218"/>
      <c r="AM200" s="218"/>
      <c r="AN200" s="218"/>
      <c r="AO200" s="218"/>
      <c r="AP200" s="53"/>
      <c r="AQ200" s="11"/>
    </row>
    <row r="201" spans="1:43" s="1" customFormat="1">
      <c r="A201" s="221" t="s">
        <v>165</v>
      </c>
      <c r="B201" s="210"/>
      <c r="C201" s="210"/>
      <c r="D201" s="210"/>
      <c r="E201" s="210"/>
      <c r="F201" s="210"/>
      <c r="G201" s="210"/>
      <c r="H201" s="210"/>
      <c r="I201" s="210"/>
      <c r="J201" s="210"/>
      <c r="K201" s="218"/>
      <c r="L201" s="218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53"/>
      <c r="AQ201" s="11"/>
    </row>
    <row r="202" spans="1:43" s="1" customFormat="1">
      <c r="A202" s="115"/>
      <c r="B202" s="115"/>
      <c r="F202" s="88"/>
      <c r="G202" s="3"/>
      <c r="H202" s="3"/>
      <c r="I202" s="3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53"/>
      <c r="AQ202" s="11"/>
    </row>
    <row r="203" spans="1:43" s="1" customFormat="1">
      <c r="A203" s="115"/>
      <c r="B203" s="115"/>
      <c r="F203" s="88"/>
      <c r="G203" s="3"/>
      <c r="H203" s="3"/>
      <c r="I203" s="3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53"/>
      <c r="AQ203" s="11"/>
    </row>
    <row r="204" spans="1:43" s="1" customFormat="1">
      <c r="A204" s="115"/>
      <c r="B204" s="115"/>
      <c r="F204" s="88"/>
      <c r="G204" s="3"/>
      <c r="H204" s="3"/>
      <c r="I204" s="3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53"/>
      <c r="AQ204" s="11"/>
    </row>
    <row r="205" spans="1:43" s="1" customFormat="1">
      <c r="A205" s="115"/>
      <c r="B205" s="115"/>
      <c r="F205" s="88"/>
      <c r="G205" s="3"/>
      <c r="H205" s="3"/>
      <c r="I205" s="3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53"/>
      <c r="AQ205" s="11"/>
    </row>
    <row r="206" spans="1:43" s="1" customFormat="1">
      <c r="A206" s="115"/>
      <c r="B206" s="115"/>
      <c r="F206" s="88"/>
      <c r="G206" s="3"/>
      <c r="H206" s="3"/>
      <c r="I206" s="3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53"/>
      <c r="AQ206" s="11"/>
    </row>
    <row r="207" spans="1:43" s="1" customFormat="1">
      <c r="A207" s="115"/>
      <c r="B207" s="115"/>
      <c r="F207" s="88"/>
      <c r="G207" s="3"/>
      <c r="H207" s="3"/>
      <c r="I207" s="3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53"/>
      <c r="AQ207" s="11"/>
    </row>
    <row r="208" spans="1:43" s="1" customFormat="1">
      <c r="A208" s="115"/>
      <c r="B208" s="115"/>
      <c r="F208" s="88"/>
      <c r="G208" s="3"/>
      <c r="H208" s="3"/>
      <c r="I208" s="3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53"/>
      <c r="AQ208" s="11"/>
    </row>
    <row r="209" spans="1:43" s="1" customFormat="1">
      <c r="A209" s="115"/>
      <c r="B209" s="115"/>
      <c r="F209" s="88"/>
      <c r="G209" s="3"/>
      <c r="H209" s="3"/>
      <c r="I209" s="3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53"/>
      <c r="AQ209" s="11"/>
    </row>
    <row r="210" spans="1:43" s="1" customFormat="1">
      <c r="A210" s="115"/>
      <c r="B210" s="115"/>
      <c r="F210" s="88"/>
      <c r="G210" s="3"/>
      <c r="H210" s="3"/>
      <c r="I210" s="3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53"/>
      <c r="AQ210" s="11"/>
    </row>
    <row r="211" spans="1:43" s="1" customFormat="1">
      <c r="A211" s="115"/>
      <c r="B211" s="115"/>
      <c r="F211" s="88"/>
      <c r="G211" s="3"/>
      <c r="H211" s="3"/>
      <c r="I211" s="3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53"/>
      <c r="AQ211" s="11"/>
    </row>
    <row r="212" spans="1:43" s="1" customFormat="1">
      <c r="A212" s="115"/>
      <c r="B212" s="115"/>
      <c r="F212" s="88"/>
      <c r="G212" s="3"/>
      <c r="H212" s="3"/>
      <c r="I212" s="3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53"/>
      <c r="AQ212" s="11"/>
    </row>
    <row r="213" spans="1:43" s="1" customFormat="1">
      <c r="A213" s="115"/>
      <c r="B213" s="115"/>
      <c r="F213" s="88"/>
      <c r="G213" s="3"/>
      <c r="H213" s="3"/>
      <c r="I213" s="3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53"/>
      <c r="AQ213" s="11"/>
    </row>
    <row r="214" spans="1:43" s="1" customFormat="1">
      <c r="A214" s="115"/>
      <c r="B214" s="115"/>
      <c r="F214" s="88"/>
      <c r="G214" s="3"/>
      <c r="H214" s="3"/>
      <c r="I214" s="3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53"/>
      <c r="AQ214" s="11"/>
    </row>
    <row r="215" spans="1:43" s="1" customFormat="1">
      <c r="A215" s="115"/>
      <c r="B215" s="115"/>
      <c r="F215" s="88"/>
      <c r="G215" s="3"/>
      <c r="H215" s="3"/>
      <c r="I215" s="3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53"/>
      <c r="AQ215" s="11"/>
    </row>
    <row r="216" spans="1:43" s="1" customFormat="1">
      <c r="A216" s="115"/>
      <c r="B216" s="115"/>
      <c r="F216" s="88"/>
      <c r="G216" s="3"/>
      <c r="H216" s="3"/>
      <c r="I216" s="3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53"/>
      <c r="AQ216" s="11"/>
    </row>
    <row r="217" spans="1:43" s="1" customFormat="1">
      <c r="A217" s="115"/>
      <c r="B217" s="115"/>
      <c r="F217" s="88"/>
      <c r="G217" s="3"/>
      <c r="H217" s="3"/>
      <c r="I217" s="3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53"/>
      <c r="AQ217" s="11"/>
    </row>
    <row r="218" spans="1:43" s="1" customFormat="1">
      <c r="A218" s="115"/>
      <c r="B218" s="115"/>
      <c r="F218" s="88"/>
      <c r="G218" s="3"/>
      <c r="H218" s="3"/>
      <c r="I218" s="3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53"/>
      <c r="AQ218" s="11"/>
    </row>
    <row r="219" spans="1:43" s="1" customFormat="1">
      <c r="A219" s="115"/>
      <c r="B219" s="115"/>
      <c r="F219" s="88"/>
      <c r="G219" s="3"/>
      <c r="H219" s="3"/>
      <c r="I219" s="3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53"/>
      <c r="AQ219" s="11"/>
    </row>
    <row r="220" spans="1:43" s="1" customFormat="1">
      <c r="A220" s="115"/>
      <c r="B220" s="115"/>
      <c r="F220" s="88"/>
      <c r="G220" s="3"/>
      <c r="H220" s="3"/>
      <c r="I220" s="3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53"/>
      <c r="AQ220" s="11"/>
    </row>
    <row r="221" spans="1:43" s="1" customFormat="1">
      <c r="A221" s="115"/>
      <c r="B221" s="115"/>
      <c r="F221" s="88"/>
      <c r="G221" s="3"/>
      <c r="H221" s="3"/>
      <c r="I221" s="3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53"/>
      <c r="AQ221" s="11"/>
    </row>
    <row r="222" spans="1:43" s="1" customFormat="1">
      <c r="A222" s="115"/>
      <c r="B222" s="115"/>
      <c r="F222" s="88"/>
      <c r="G222" s="3"/>
      <c r="H222" s="3"/>
      <c r="I222" s="3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53"/>
      <c r="AQ222" s="11"/>
    </row>
    <row r="223" spans="1:43" s="1" customFormat="1">
      <c r="A223" s="115"/>
      <c r="B223" s="115"/>
      <c r="F223" s="88"/>
      <c r="G223" s="3"/>
      <c r="H223" s="3"/>
      <c r="I223" s="3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53"/>
      <c r="AQ223" s="11"/>
    </row>
    <row r="224" spans="1:43" s="1" customFormat="1">
      <c r="A224" s="115"/>
      <c r="B224" s="115"/>
      <c r="F224" s="88"/>
      <c r="G224" s="3"/>
      <c r="H224" s="3"/>
      <c r="I224" s="3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53"/>
      <c r="AQ224" s="11"/>
    </row>
    <row r="225" spans="1:43" s="1" customFormat="1">
      <c r="A225" s="115"/>
      <c r="B225" s="115"/>
      <c r="F225" s="88"/>
      <c r="G225" s="3"/>
      <c r="H225" s="3"/>
      <c r="I225" s="3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53"/>
      <c r="AQ225" s="11"/>
    </row>
    <row r="226" spans="1:43" s="1" customFormat="1">
      <c r="A226" s="115"/>
      <c r="B226" s="115"/>
      <c r="F226" s="88"/>
      <c r="G226" s="3"/>
      <c r="H226" s="3"/>
      <c r="I226" s="3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53"/>
      <c r="AQ226" s="11"/>
    </row>
    <row r="227" spans="1:43" s="1" customFormat="1">
      <c r="A227" s="115"/>
      <c r="B227" s="115"/>
      <c r="F227" s="88"/>
      <c r="G227" s="3"/>
      <c r="H227" s="3"/>
      <c r="I227" s="3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53"/>
      <c r="AQ227" s="11"/>
    </row>
    <row r="228" spans="1:43" s="1" customFormat="1">
      <c r="A228" s="115"/>
      <c r="B228" s="115"/>
      <c r="F228" s="88"/>
      <c r="G228" s="3"/>
      <c r="H228" s="3"/>
      <c r="I228" s="3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53"/>
      <c r="AQ228" s="11"/>
    </row>
    <row r="229" spans="1:43" s="1" customFormat="1">
      <c r="A229" s="115"/>
      <c r="B229" s="115"/>
      <c r="F229" s="88"/>
      <c r="G229" s="3"/>
      <c r="H229" s="3"/>
      <c r="I229" s="3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53"/>
      <c r="AQ229" s="11"/>
    </row>
    <row r="230" spans="1:43" s="1" customFormat="1">
      <c r="A230" s="115"/>
      <c r="B230" s="115"/>
      <c r="F230" s="88"/>
      <c r="G230" s="3"/>
      <c r="H230" s="3"/>
      <c r="I230" s="3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53"/>
      <c r="AQ230" s="11"/>
    </row>
    <row r="231" spans="1:43" s="1" customFormat="1">
      <c r="A231" s="115"/>
      <c r="B231" s="115"/>
      <c r="F231" s="88"/>
      <c r="G231" s="3"/>
      <c r="H231" s="3"/>
      <c r="I231" s="3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53"/>
      <c r="AQ231" s="11"/>
    </row>
    <row r="232" spans="1:43" s="1" customFormat="1">
      <c r="A232" s="115"/>
      <c r="B232" s="115"/>
      <c r="F232" s="88"/>
      <c r="G232" s="3"/>
      <c r="H232" s="3"/>
      <c r="I232" s="3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53"/>
      <c r="AQ232" s="11"/>
    </row>
    <row r="233" spans="1:43" s="1" customFormat="1">
      <c r="A233" s="115"/>
      <c r="B233" s="115"/>
      <c r="F233" s="88"/>
      <c r="G233" s="3"/>
      <c r="H233" s="3"/>
      <c r="I233" s="3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53"/>
      <c r="AQ233" s="11"/>
    </row>
    <row r="234" spans="1:43" s="1" customFormat="1">
      <c r="A234" s="115"/>
      <c r="B234" s="115"/>
      <c r="F234" s="88"/>
      <c r="G234" s="3"/>
      <c r="H234" s="3"/>
      <c r="I234" s="3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53"/>
      <c r="AQ234" s="11"/>
    </row>
    <row r="235" spans="1:43" s="1" customFormat="1">
      <c r="A235" s="115"/>
      <c r="B235" s="115"/>
      <c r="F235" s="88"/>
      <c r="G235" s="3"/>
      <c r="H235" s="3"/>
      <c r="I235" s="3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53"/>
      <c r="AQ235" s="11"/>
    </row>
    <row r="236" spans="1:43" s="1" customFormat="1">
      <c r="A236" s="115"/>
      <c r="B236" s="115"/>
      <c r="F236" s="88"/>
      <c r="G236" s="3"/>
      <c r="H236" s="3"/>
      <c r="I236" s="3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53"/>
      <c r="AQ236" s="11"/>
    </row>
    <row r="237" spans="1:43" s="1" customFormat="1">
      <c r="A237" s="115"/>
      <c r="B237" s="115"/>
      <c r="F237" s="88"/>
      <c r="G237" s="3"/>
      <c r="H237" s="3"/>
      <c r="I237" s="3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53"/>
      <c r="AQ237" s="11"/>
    </row>
    <row r="238" spans="1:43" s="1" customFormat="1">
      <c r="A238" s="115"/>
      <c r="B238" s="115"/>
      <c r="F238" s="88"/>
      <c r="G238" s="3"/>
      <c r="H238" s="3"/>
      <c r="I238" s="3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53"/>
      <c r="AQ238" s="11"/>
    </row>
    <row r="239" spans="1:43" s="1" customFormat="1">
      <c r="A239" s="115"/>
      <c r="B239" s="115"/>
      <c r="F239" s="88"/>
      <c r="G239" s="3"/>
      <c r="H239" s="3"/>
      <c r="I239" s="3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53"/>
      <c r="AQ239" s="11"/>
    </row>
    <row r="240" spans="1:43" s="1" customFormat="1">
      <c r="A240" s="115"/>
      <c r="B240" s="115"/>
      <c r="F240" s="88"/>
      <c r="G240" s="3"/>
      <c r="H240" s="3"/>
      <c r="I240" s="3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53"/>
      <c r="AQ240" s="11"/>
    </row>
    <row r="241" spans="1:43" s="1" customFormat="1">
      <c r="A241" s="115"/>
      <c r="B241" s="115"/>
      <c r="F241" s="88"/>
      <c r="G241" s="3"/>
      <c r="H241" s="3"/>
      <c r="I241" s="3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53"/>
      <c r="AQ241" s="11"/>
    </row>
    <row r="242" spans="1:43" s="1" customFormat="1">
      <c r="A242" s="115"/>
      <c r="B242" s="115"/>
      <c r="F242" s="88"/>
      <c r="G242" s="3"/>
      <c r="H242" s="3"/>
      <c r="I242" s="3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53"/>
      <c r="AQ242" s="11"/>
    </row>
    <row r="243" spans="1:43" s="1" customFormat="1">
      <c r="A243" s="115"/>
      <c r="B243" s="115"/>
      <c r="F243" s="88"/>
      <c r="G243" s="3"/>
      <c r="H243" s="3"/>
      <c r="I243" s="3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53"/>
      <c r="AQ243" s="11"/>
    </row>
    <row r="244" spans="1:43" s="1" customFormat="1">
      <c r="A244" s="115"/>
      <c r="B244" s="115"/>
      <c r="F244" s="88"/>
      <c r="G244" s="3"/>
      <c r="H244" s="3"/>
      <c r="I244" s="3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53"/>
      <c r="AQ244" s="11"/>
    </row>
    <row r="245" spans="1:43" s="1" customFormat="1">
      <c r="A245" s="115"/>
      <c r="B245" s="115"/>
      <c r="F245" s="88"/>
      <c r="G245" s="3"/>
      <c r="H245" s="3"/>
      <c r="I245" s="3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53"/>
      <c r="AQ245" s="11"/>
    </row>
    <row r="246" spans="1:43" s="1" customFormat="1">
      <c r="A246" s="115"/>
      <c r="B246" s="115"/>
      <c r="F246" s="88"/>
      <c r="G246" s="3"/>
      <c r="H246" s="3"/>
      <c r="I246" s="3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53"/>
      <c r="AQ246" s="11"/>
    </row>
    <row r="247" spans="1:43" s="1" customFormat="1">
      <c r="A247" s="115"/>
      <c r="B247" s="115"/>
      <c r="F247" s="88"/>
      <c r="G247" s="3"/>
      <c r="H247" s="3"/>
      <c r="I247" s="3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53"/>
      <c r="AQ247" s="11"/>
    </row>
    <row r="248" spans="1:43" s="1" customFormat="1">
      <c r="A248" s="115"/>
      <c r="B248" s="115"/>
      <c r="F248" s="88"/>
      <c r="G248" s="3"/>
      <c r="H248" s="3"/>
      <c r="I248" s="3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53"/>
      <c r="AQ248" s="11"/>
    </row>
    <row r="249" spans="1:43" s="1" customFormat="1">
      <c r="A249" s="115"/>
      <c r="B249" s="115"/>
      <c r="F249" s="88"/>
      <c r="G249" s="3"/>
      <c r="H249" s="3"/>
      <c r="I249" s="3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53"/>
      <c r="AQ249" s="11"/>
    </row>
    <row r="250" spans="1:43" s="1" customFormat="1">
      <c r="A250" s="115"/>
      <c r="B250" s="115"/>
      <c r="F250" s="88"/>
      <c r="G250" s="3"/>
      <c r="H250" s="3"/>
      <c r="I250" s="3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53"/>
      <c r="AQ250" s="11"/>
    </row>
    <row r="251" spans="1:43" s="1" customFormat="1">
      <c r="A251" s="115"/>
      <c r="B251" s="115"/>
      <c r="F251" s="88"/>
      <c r="G251" s="3"/>
      <c r="H251" s="3"/>
      <c r="I251" s="3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53"/>
      <c r="AQ251" s="11"/>
    </row>
    <row r="252" spans="1:43" s="1" customFormat="1">
      <c r="A252" s="115"/>
      <c r="B252" s="115"/>
      <c r="F252" s="88"/>
      <c r="G252" s="3"/>
      <c r="H252" s="3"/>
      <c r="I252" s="3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53"/>
      <c r="AQ252" s="11"/>
    </row>
    <row r="253" spans="1:43" s="1" customFormat="1">
      <c r="A253" s="115"/>
      <c r="B253" s="115"/>
      <c r="F253" s="88"/>
      <c r="G253" s="3"/>
      <c r="H253" s="3"/>
      <c r="I253" s="3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53"/>
      <c r="AQ253" s="11"/>
    </row>
    <row r="254" spans="1:43" s="1" customFormat="1">
      <c r="A254" s="115"/>
      <c r="B254" s="115"/>
      <c r="F254" s="88"/>
      <c r="G254" s="3"/>
      <c r="H254" s="3"/>
      <c r="I254" s="3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53"/>
      <c r="AQ254" s="11"/>
    </row>
    <row r="255" spans="1:43" s="1" customFormat="1">
      <c r="A255" s="115"/>
      <c r="B255" s="115"/>
      <c r="F255" s="88"/>
      <c r="G255" s="3"/>
      <c r="H255" s="3"/>
      <c r="I255" s="3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53"/>
      <c r="AQ255" s="11"/>
    </row>
    <row r="256" spans="1:43" s="1" customFormat="1">
      <c r="A256" s="115"/>
      <c r="B256" s="115"/>
      <c r="F256" s="88"/>
      <c r="G256" s="3"/>
      <c r="H256" s="3"/>
      <c r="I256" s="3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53"/>
      <c r="AQ256" s="11"/>
    </row>
    <row r="257" spans="1:43" s="1" customFormat="1">
      <c r="A257" s="115"/>
      <c r="B257" s="115"/>
      <c r="F257" s="88"/>
      <c r="G257" s="3"/>
      <c r="H257" s="3"/>
      <c r="I257" s="3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53"/>
      <c r="AQ257" s="11"/>
    </row>
    <row r="258" spans="1:43" s="1" customFormat="1">
      <c r="A258" s="115"/>
      <c r="B258" s="115"/>
      <c r="F258" s="88"/>
      <c r="G258" s="3"/>
      <c r="H258" s="3"/>
      <c r="I258" s="3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53"/>
      <c r="AQ258" s="11"/>
    </row>
    <row r="259" spans="1:43" s="1" customFormat="1">
      <c r="A259" s="115"/>
      <c r="B259" s="115"/>
      <c r="F259" s="88"/>
      <c r="G259" s="3"/>
      <c r="H259" s="3"/>
      <c r="I259" s="3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53"/>
      <c r="AQ259" s="11"/>
    </row>
    <row r="260" spans="1:43" s="1" customFormat="1">
      <c r="A260" s="115"/>
      <c r="B260" s="115"/>
      <c r="F260" s="88"/>
      <c r="G260" s="3"/>
      <c r="H260" s="3"/>
      <c r="I260" s="3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53"/>
      <c r="AQ260" s="11"/>
    </row>
    <row r="261" spans="1:43" s="1" customFormat="1">
      <c r="A261" s="115"/>
      <c r="B261" s="115"/>
      <c r="F261" s="88"/>
      <c r="G261" s="3"/>
      <c r="H261" s="3"/>
      <c r="I261" s="3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53"/>
      <c r="AQ261" s="11"/>
    </row>
    <row r="262" spans="1:43" s="1" customFormat="1">
      <c r="A262" s="115"/>
      <c r="B262" s="115"/>
      <c r="F262" s="88"/>
      <c r="G262" s="3"/>
      <c r="H262" s="3"/>
      <c r="I262" s="3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53"/>
      <c r="AQ262" s="11"/>
    </row>
    <row r="263" spans="1:43" s="1" customFormat="1">
      <c r="A263" s="115"/>
      <c r="B263" s="115"/>
      <c r="F263" s="88"/>
      <c r="G263" s="3"/>
      <c r="H263" s="3"/>
      <c r="I263" s="3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53"/>
      <c r="AQ263" s="11"/>
    </row>
    <row r="264" spans="1:43" s="1" customFormat="1">
      <c r="A264" s="115"/>
      <c r="B264" s="115"/>
      <c r="F264" s="88"/>
      <c r="G264" s="3"/>
      <c r="H264" s="3"/>
      <c r="I264" s="3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53"/>
      <c r="AQ264" s="11"/>
    </row>
    <row r="265" spans="1:43" s="1" customFormat="1">
      <c r="A265" s="115"/>
      <c r="B265" s="115"/>
      <c r="F265" s="88"/>
      <c r="G265" s="3"/>
      <c r="H265" s="3"/>
      <c r="I265" s="3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53"/>
      <c r="AQ265" s="11"/>
    </row>
    <row r="266" spans="1:43" s="1" customFormat="1">
      <c r="A266" s="115"/>
      <c r="B266" s="115"/>
      <c r="F266" s="88"/>
      <c r="G266" s="3"/>
      <c r="H266" s="3"/>
      <c r="I266" s="3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53"/>
      <c r="AQ266" s="11"/>
    </row>
    <row r="267" spans="1:43" s="1" customFormat="1">
      <c r="A267" s="115"/>
      <c r="B267" s="115"/>
      <c r="F267" s="88"/>
      <c r="G267" s="3"/>
      <c r="H267" s="3"/>
      <c r="I267" s="3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53"/>
      <c r="AQ267" s="11"/>
    </row>
    <row r="268" spans="1:43" s="1" customFormat="1">
      <c r="A268" s="115"/>
      <c r="B268" s="115"/>
      <c r="F268" s="88"/>
      <c r="G268" s="3"/>
      <c r="H268" s="3"/>
      <c r="I268" s="3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53"/>
      <c r="AQ268" s="11"/>
    </row>
    <row r="269" spans="1:43" s="1" customFormat="1">
      <c r="A269" s="115"/>
      <c r="B269" s="115"/>
      <c r="F269" s="88"/>
      <c r="G269" s="3"/>
      <c r="H269" s="3"/>
      <c r="I269" s="3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53"/>
      <c r="AQ269" s="11"/>
    </row>
    <row r="270" spans="1:43" s="1" customFormat="1">
      <c r="A270" s="115"/>
      <c r="B270" s="115"/>
      <c r="F270" s="88"/>
      <c r="G270" s="3"/>
      <c r="H270" s="3"/>
      <c r="I270" s="3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53"/>
      <c r="AQ270" s="11"/>
    </row>
    <row r="271" spans="1:43" s="1" customFormat="1">
      <c r="A271" s="115"/>
      <c r="B271" s="115"/>
      <c r="F271" s="88"/>
      <c r="G271" s="3"/>
      <c r="H271" s="3"/>
      <c r="I271" s="3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53"/>
      <c r="AQ271" s="11"/>
    </row>
    <row r="272" spans="1:43" s="1" customFormat="1">
      <c r="A272" s="115"/>
      <c r="B272" s="115"/>
      <c r="F272" s="88"/>
      <c r="G272" s="3"/>
      <c r="H272" s="3"/>
      <c r="I272" s="3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53"/>
      <c r="AQ272" s="11"/>
    </row>
    <row r="273" spans="1:43" s="1" customFormat="1">
      <c r="A273" s="115"/>
      <c r="B273" s="115"/>
      <c r="F273" s="88"/>
      <c r="G273" s="3"/>
      <c r="H273" s="3"/>
      <c r="I273" s="3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53"/>
      <c r="AQ273" s="11"/>
    </row>
    <row r="274" spans="1:43" s="1" customFormat="1">
      <c r="A274" s="115"/>
      <c r="B274" s="115"/>
      <c r="F274" s="88"/>
      <c r="G274" s="3"/>
      <c r="H274" s="3"/>
      <c r="I274" s="3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53"/>
      <c r="AQ274" s="11"/>
    </row>
    <row r="275" spans="1:43" s="1" customFormat="1">
      <c r="A275" s="115"/>
      <c r="B275" s="115"/>
      <c r="F275" s="88"/>
      <c r="G275" s="3"/>
      <c r="H275" s="3"/>
      <c r="I275" s="3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53"/>
      <c r="AQ275" s="11"/>
    </row>
    <row r="276" spans="1:43" s="1" customFormat="1">
      <c r="A276" s="115"/>
      <c r="B276" s="115"/>
      <c r="F276" s="88"/>
      <c r="G276" s="3"/>
      <c r="H276" s="3"/>
      <c r="I276" s="3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53"/>
      <c r="AQ276" s="11"/>
    </row>
    <row r="277" spans="1:43" s="1" customFormat="1">
      <c r="A277" s="115"/>
      <c r="B277" s="115"/>
      <c r="F277" s="88"/>
      <c r="G277" s="3"/>
      <c r="H277" s="3"/>
      <c r="I277" s="3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53"/>
      <c r="AQ277" s="11"/>
    </row>
    <row r="278" spans="1:43" s="1" customFormat="1">
      <c r="A278" s="115"/>
      <c r="B278" s="115"/>
      <c r="F278" s="88"/>
      <c r="G278" s="3"/>
      <c r="H278" s="3"/>
      <c r="I278" s="3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53"/>
      <c r="AQ278" s="11"/>
    </row>
    <row r="279" spans="1:43" s="1" customFormat="1">
      <c r="A279" s="115"/>
      <c r="B279" s="115"/>
      <c r="F279" s="88"/>
      <c r="G279" s="3"/>
      <c r="H279" s="3"/>
      <c r="I279" s="3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53"/>
      <c r="AQ279" s="11"/>
    </row>
    <row r="280" spans="1:43" s="1" customFormat="1">
      <c r="A280" s="115"/>
      <c r="B280" s="115"/>
      <c r="F280" s="88"/>
      <c r="G280" s="3"/>
      <c r="H280" s="3"/>
      <c r="I280" s="3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53"/>
      <c r="AQ280" s="11"/>
    </row>
    <row r="281" spans="1:43" s="1" customFormat="1">
      <c r="A281" s="115"/>
      <c r="B281" s="115"/>
      <c r="F281" s="88"/>
      <c r="G281" s="3"/>
      <c r="H281" s="3"/>
      <c r="I281" s="3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53"/>
      <c r="AQ281" s="11"/>
    </row>
    <row r="282" spans="1:43" s="1" customFormat="1">
      <c r="A282" s="115"/>
      <c r="B282" s="115"/>
      <c r="F282" s="88"/>
      <c r="G282" s="3"/>
      <c r="H282" s="3"/>
      <c r="I282" s="3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53"/>
      <c r="AQ282" s="11"/>
    </row>
    <row r="283" spans="1:43" s="1" customFormat="1">
      <c r="A283" s="115"/>
      <c r="B283" s="115"/>
      <c r="F283" s="88"/>
      <c r="G283" s="3"/>
      <c r="H283" s="3"/>
      <c r="I283" s="3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53"/>
      <c r="AQ283" s="11"/>
    </row>
    <row r="284" spans="1:43" s="1" customFormat="1">
      <c r="A284" s="115"/>
      <c r="B284" s="115"/>
      <c r="F284" s="88"/>
      <c r="G284" s="3"/>
      <c r="H284" s="3"/>
      <c r="I284" s="3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53"/>
      <c r="AQ284" s="11"/>
    </row>
    <row r="285" spans="1:43" s="1" customFormat="1">
      <c r="A285" s="115"/>
      <c r="B285" s="115"/>
      <c r="F285" s="88"/>
      <c r="G285" s="3"/>
      <c r="H285" s="3"/>
      <c r="I285" s="3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53"/>
      <c r="AQ285" s="11"/>
    </row>
    <row r="286" spans="1:43" s="1" customFormat="1">
      <c r="A286" s="115"/>
      <c r="B286" s="115"/>
      <c r="F286" s="88"/>
      <c r="G286" s="3"/>
      <c r="H286" s="3"/>
      <c r="I286" s="3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53"/>
      <c r="AQ286" s="11"/>
    </row>
    <row r="287" spans="1:43" s="1" customFormat="1">
      <c r="A287" s="115"/>
      <c r="B287" s="115"/>
      <c r="F287" s="88"/>
      <c r="G287" s="3"/>
      <c r="H287" s="3"/>
      <c r="I287" s="3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53"/>
      <c r="AQ287" s="11"/>
    </row>
    <row r="288" spans="1:43" s="1" customFormat="1">
      <c r="A288" s="115"/>
      <c r="B288" s="115"/>
      <c r="F288" s="88"/>
      <c r="G288" s="3"/>
      <c r="H288" s="3"/>
      <c r="I288" s="3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53"/>
      <c r="AQ288" s="11"/>
    </row>
    <row r="289" spans="1:43" s="1" customFormat="1">
      <c r="A289" s="115"/>
      <c r="B289" s="115"/>
      <c r="F289" s="88"/>
      <c r="G289" s="3"/>
      <c r="H289" s="3"/>
      <c r="I289" s="3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53"/>
      <c r="AQ289" s="11"/>
    </row>
    <row r="290" spans="1:43" s="1" customFormat="1">
      <c r="A290" s="115"/>
      <c r="B290" s="115"/>
      <c r="F290" s="88"/>
      <c r="G290" s="3"/>
      <c r="H290" s="3"/>
      <c r="I290" s="3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53"/>
      <c r="AQ290" s="11"/>
    </row>
    <row r="291" spans="1:43" s="1" customFormat="1">
      <c r="A291" s="115"/>
      <c r="B291" s="115"/>
      <c r="F291" s="88"/>
      <c r="G291" s="3"/>
      <c r="H291" s="3"/>
      <c r="I291" s="3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53"/>
      <c r="AQ291" s="11"/>
    </row>
    <row r="292" spans="1:43" s="1" customFormat="1">
      <c r="A292" s="115"/>
      <c r="B292" s="115"/>
      <c r="F292" s="88"/>
      <c r="G292" s="3"/>
      <c r="H292" s="3"/>
      <c r="I292" s="3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53"/>
      <c r="AQ292" s="11"/>
    </row>
    <row r="293" spans="1:43" s="1" customFormat="1">
      <c r="A293" s="115"/>
      <c r="B293" s="115"/>
      <c r="F293" s="88"/>
      <c r="G293" s="3"/>
      <c r="H293" s="3"/>
      <c r="I293" s="3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53"/>
      <c r="AQ293" s="11"/>
    </row>
    <row r="294" spans="1:43" s="1" customFormat="1">
      <c r="A294" s="115"/>
      <c r="B294" s="115"/>
      <c r="F294" s="88"/>
      <c r="G294" s="3"/>
      <c r="H294" s="3"/>
      <c r="I294" s="3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53"/>
      <c r="AQ294" s="11"/>
    </row>
    <row r="295" spans="1:43" s="1" customFormat="1">
      <c r="A295" s="115"/>
      <c r="B295" s="115"/>
      <c r="F295" s="88"/>
      <c r="G295" s="3"/>
      <c r="H295" s="3"/>
      <c r="I295" s="3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53"/>
      <c r="AQ295" s="11"/>
    </row>
    <row r="296" spans="1:43" s="1" customFormat="1">
      <c r="A296" s="115"/>
      <c r="B296" s="115"/>
      <c r="F296" s="88"/>
      <c r="G296" s="3"/>
      <c r="H296" s="3"/>
      <c r="I296" s="3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53"/>
      <c r="AQ296" s="11"/>
    </row>
    <row r="297" spans="1:43" s="1" customFormat="1">
      <c r="A297" s="115"/>
      <c r="B297" s="115"/>
      <c r="F297" s="88"/>
      <c r="G297" s="3"/>
      <c r="H297" s="3"/>
      <c r="I297" s="3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53"/>
      <c r="AQ297" s="11"/>
    </row>
    <row r="298" spans="1:43" s="1" customFormat="1">
      <c r="A298" s="115"/>
      <c r="B298" s="115"/>
      <c r="F298" s="88"/>
      <c r="G298" s="3"/>
      <c r="H298" s="3"/>
      <c r="I298" s="3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53"/>
      <c r="AQ298" s="11"/>
    </row>
    <row r="299" spans="1:43" s="1" customFormat="1">
      <c r="A299" s="115"/>
      <c r="B299" s="115"/>
      <c r="F299" s="88"/>
      <c r="G299" s="3"/>
      <c r="H299" s="3"/>
      <c r="I299" s="3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53"/>
      <c r="AQ299" s="11"/>
    </row>
    <row r="300" spans="1:43" s="1" customFormat="1">
      <c r="A300" s="115"/>
      <c r="B300" s="115"/>
      <c r="F300" s="88"/>
      <c r="G300" s="3"/>
      <c r="H300" s="3"/>
      <c r="I300" s="3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53"/>
      <c r="AQ300" s="11"/>
    </row>
    <row r="301" spans="1:43" s="1" customFormat="1">
      <c r="A301" s="115"/>
      <c r="B301" s="115"/>
      <c r="F301" s="88"/>
      <c r="G301" s="3"/>
      <c r="H301" s="3"/>
      <c r="I301" s="3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53"/>
      <c r="AQ301" s="11"/>
    </row>
    <row r="302" spans="1:43" s="1" customFormat="1">
      <c r="A302" s="115"/>
      <c r="B302" s="115"/>
      <c r="F302" s="88"/>
      <c r="G302" s="3"/>
      <c r="H302" s="3"/>
      <c r="I302" s="3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53"/>
      <c r="AQ302" s="11"/>
    </row>
    <row r="303" spans="1:43" s="1" customFormat="1">
      <c r="A303" s="115"/>
      <c r="B303" s="115"/>
      <c r="F303" s="88"/>
      <c r="G303" s="3"/>
      <c r="H303" s="3"/>
      <c r="I303" s="3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53"/>
      <c r="AQ303" s="11"/>
    </row>
    <row r="304" spans="1:43" s="1" customFormat="1">
      <c r="A304" s="115"/>
      <c r="B304" s="115"/>
      <c r="F304" s="88"/>
      <c r="G304" s="3"/>
      <c r="H304" s="3"/>
      <c r="I304" s="3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53"/>
      <c r="AQ304" s="11"/>
    </row>
    <row r="305" spans="1:43" s="1" customFormat="1">
      <c r="A305" s="115"/>
      <c r="B305" s="115"/>
      <c r="F305" s="88"/>
      <c r="G305" s="3"/>
      <c r="H305" s="3"/>
      <c r="I305" s="3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53"/>
      <c r="AQ305" s="11"/>
    </row>
    <row r="306" spans="1:43" s="1" customFormat="1">
      <c r="A306" s="115"/>
      <c r="B306" s="115"/>
      <c r="F306" s="88"/>
      <c r="G306" s="3"/>
      <c r="H306" s="3"/>
      <c r="I306" s="3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53"/>
      <c r="AQ306" s="11"/>
    </row>
    <row r="307" spans="1:43" s="1" customFormat="1">
      <c r="A307" s="115"/>
      <c r="B307" s="115"/>
      <c r="F307" s="88"/>
      <c r="G307" s="3"/>
      <c r="H307" s="3"/>
      <c r="I307" s="3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53"/>
      <c r="AQ307" s="11"/>
    </row>
    <row r="308" spans="1:43" s="1" customFormat="1">
      <c r="A308" s="115"/>
      <c r="B308" s="115"/>
      <c r="F308" s="88"/>
      <c r="G308" s="3"/>
      <c r="H308" s="3"/>
      <c r="I308" s="3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53"/>
      <c r="AQ308" s="11"/>
    </row>
    <row r="309" spans="1:43" s="1" customFormat="1">
      <c r="A309" s="115"/>
      <c r="B309" s="115"/>
      <c r="F309" s="88"/>
      <c r="G309" s="3"/>
      <c r="H309" s="3"/>
      <c r="I309" s="3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53"/>
      <c r="AQ309" s="11"/>
    </row>
    <row r="310" spans="1:43" s="1" customFormat="1">
      <c r="A310" s="115"/>
      <c r="B310" s="115"/>
      <c r="F310" s="88"/>
      <c r="G310" s="3"/>
      <c r="H310" s="3"/>
      <c r="I310" s="3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53"/>
      <c r="AQ310" s="11"/>
    </row>
    <row r="311" spans="1:43" s="1" customFormat="1">
      <c r="A311" s="115"/>
      <c r="B311" s="115"/>
      <c r="F311" s="88"/>
      <c r="G311" s="3"/>
      <c r="H311" s="3"/>
      <c r="I311" s="3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53"/>
      <c r="AQ311" s="11"/>
    </row>
    <row r="312" spans="1:43" s="1" customFormat="1">
      <c r="A312" s="115"/>
      <c r="B312" s="115"/>
      <c r="F312" s="88"/>
      <c r="G312" s="3"/>
      <c r="H312" s="3"/>
      <c r="I312" s="3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53"/>
      <c r="AQ312" s="11"/>
    </row>
    <row r="313" spans="1:43" s="1" customFormat="1">
      <c r="A313" s="115"/>
      <c r="B313" s="115"/>
      <c r="F313" s="88"/>
      <c r="G313" s="3"/>
      <c r="H313" s="3"/>
      <c r="I313" s="3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53"/>
      <c r="AQ313" s="11"/>
    </row>
    <row r="314" spans="1:43" s="1" customFormat="1">
      <c r="A314" s="115"/>
      <c r="B314" s="115"/>
      <c r="F314" s="88"/>
      <c r="G314" s="3"/>
      <c r="H314" s="3"/>
      <c r="I314" s="3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53"/>
      <c r="AQ314" s="11"/>
    </row>
    <row r="315" spans="1:43" s="1" customFormat="1">
      <c r="A315" s="115"/>
      <c r="B315" s="115"/>
      <c r="F315" s="88"/>
      <c r="G315" s="3"/>
      <c r="H315" s="3"/>
      <c r="I315" s="3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53"/>
      <c r="AQ315" s="11"/>
    </row>
    <row r="316" spans="1:43" s="1" customFormat="1">
      <c r="A316" s="115"/>
      <c r="B316" s="115"/>
      <c r="F316" s="88"/>
      <c r="G316" s="3"/>
      <c r="H316" s="3"/>
      <c r="I316" s="3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53"/>
      <c r="AQ316" s="11"/>
    </row>
    <row r="317" spans="1:43" s="1" customFormat="1">
      <c r="A317" s="115"/>
      <c r="B317" s="115"/>
      <c r="F317" s="88"/>
      <c r="G317" s="3"/>
      <c r="H317" s="3"/>
      <c r="I317" s="3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53"/>
      <c r="AQ317" s="11"/>
    </row>
    <row r="318" spans="1:43" s="1" customFormat="1">
      <c r="A318" s="115"/>
      <c r="B318" s="115"/>
      <c r="F318" s="88"/>
      <c r="G318" s="3"/>
      <c r="H318" s="3"/>
      <c r="I318" s="3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53"/>
      <c r="AQ318" s="11"/>
    </row>
    <row r="319" spans="1:43" s="1" customFormat="1">
      <c r="A319" s="115"/>
      <c r="B319" s="115"/>
      <c r="F319" s="88"/>
      <c r="G319" s="3"/>
      <c r="H319" s="3"/>
      <c r="I319" s="3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53"/>
      <c r="AQ319" s="11"/>
    </row>
    <row r="320" spans="1:43" s="1" customFormat="1">
      <c r="A320" s="115"/>
      <c r="B320" s="115"/>
      <c r="F320" s="88"/>
      <c r="G320" s="3"/>
      <c r="H320" s="3"/>
      <c r="I320" s="3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53"/>
      <c r="AQ320" s="11"/>
    </row>
    <row r="321" spans="1:43" s="1" customFormat="1">
      <c r="A321" s="115"/>
      <c r="B321" s="115"/>
      <c r="F321" s="88"/>
      <c r="G321" s="3"/>
      <c r="H321" s="3"/>
      <c r="I321" s="3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53"/>
      <c r="AQ321" s="11"/>
    </row>
    <row r="322" spans="1:43" s="1" customFormat="1">
      <c r="A322" s="115"/>
      <c r="B322" s="115"/>
      <c r="F322" s="88"/>
      <c r="G322" s="3"/>
      <c r="H322" s="3"/>
      <c r="I322" s="3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53"/>
      <c r="AQ322" s="11"/>
    </row>
    <row r="323" spans="1:43" s="1" customFormat="1">
      <c r="A323" s="115"/>
      <c r="B323" s="115"/>
      <c r="F323" s="88"/>
      <c r="G323" s="3"/>
      <c r="H323" s="3"/>
      <c r="I323" s="3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53"/>
      <c r="AQ323" s="11"/>
    </row>
    <row r="324" spans="1:43" s="1" customFormat="1">
      <c r="A324" s="115"/>
      <c r="B324" s="115"/>
      <c r="F324" s="88"/>
      <c r="G324" s="3"/>
      <c r="H324" s="3"/>
      <c r="I324" s="3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53"/>
      <c r="AQ324" s="11"/>
    </row>
    <row r="325" spans="1:43" s="1" customFormat="1">
      <c r="A325" s="115"/>
      <c r="B325" s="115"/>
      <c r="F325" s="88"/>
      <c r="G325" s="3"/>
      <c r="H325" s="3"/>
      <c r="I325" s="3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53"/>
      <c r="AQ325" s="11"/>
    </row>
    <row r="326" spans="1:43" s="1" customFormat="1">
      <c r="A326" s="115"/>
      <c r="B326" s="115"/>
      <c r="F326" s="88"/>
      <c r="G326" s="3"/>
      <c r="H326" s="3"/>
      <c r="I326" s="3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53"/>
      <c r="AQ326" s="11"/>
    </row>
    <row r="327" spans="1:43" s="1" customFormat="1">
      <c r="A327" s="115"/>
      <c r="B327" s="115"/>
      <c r="F327" s="88"/>
      <c r="G327" s="3"/>
      <c r="H327" s="3"/>
      <c r="I327" s="3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53"/>
      <c r="AQ327" s="11"/>
    </row>
    <row r="328" spans="1:43" s="1" customFormat="1">
      <c r="A328" s="115"/>
      <c r="B328" s="115"/>
      <c r="F328" s="88"/>
      <c r="G328" s="3"/>
      <c r="H328" s="3"/>
      <c r="I328" s="3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53"/>
      <c r="AQ328" s="11"/>
    </row>
    <row r="329" spans="1:43" s="1" customFormat="1">
      <c r="A329" s="115"/>
      <c r="B329" s="115"/>
      <c r="F329" s="88"/>
      <c r="G329" s="3"/>
      <c r="H329" s="3"/>
      <c r="I329" s="3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53"/>
      <c r="AQ329" s="11"/>
    </row>
    <row r="330" spans="1:43" s="1" customFormat="1">
      <c r="A330" s="115"/>
      <c r="B330" s="115"/>
      <c r="F330" s="88"/>
      <c r="G330" s="3"/>
      <c r="H330" s="3"/>
      <c r="I330" s="3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53"/>
      <c r="AQ330" s="11"/>
    </row>
    <row r="331" spans="1:43" s="1" customFormat="1">
      <c r="A331" s="115"/>
      <c r="B331" s="115"/>
      <c r="F331" s="88"/>
      <c r="G331" s="3"/>
      <c r="H331" s="3"/>
      <c r="I331" s="3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53"/>
      <c r="AQ331" s="11"/>
    </row>
    <row r="332" spans="1:43" s="1" customFormat="1">
      <c r="A332" s="115"/>
      <c r="B332" s="115"/>
      <c r="F332" s="88"/>
      <c r="G332" s="3"/>
      <c r="H332" s="3"/>
      <c r="I332" s="3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53"/>
      <c r="AQ332" s="11"/>
    </row>
    <row r="333" spans="1:43" s="1" customFormat="1">
      <c r="A333" s="115"/>
      <c r="B333" s="115"/>
      <c r="F333" s="88"/>
      <c r="G333" s="3"/>
      <c r="H333" s="3"/>
      <c r="I333" s="3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53"/>
      <c r="AQ333" s="11"/>
    </row>
    <row r="334" spans="1:43" s="1" customFormat="1">
      <c r="A334" s="115"/>
      <c r="B334" s="115"/>
      <c r="F334" s="88"/>
      <c r="G334" s="3"/>
      <c r="H334" s="3"/>
      <c r="I334" s="3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53"/>
      <c r="AQ334" s="11"/>
    </row>
    <row r="335" spans="1:43" s="1" customFormat="1">
      <c r="A335" s="115"/>
      <c r="B335" s="115"/>
      <c r="F335" s="88"/>
      <c r="G335" s="3"/>
      <c r="H335" s="3"/>
      <c r="I335" s="3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53"/>
      <c r="AQ335" s="11"/>
    </row>
    <row r="336" spans="1:43" s="1" customFormat="1">
      <c r="A336" s="115"/>
      <c r="B336" s="115"/>
      <c r="F336" s="88"/>
      <c r="G336" s="3"/>
      <c r="H336" s="3"/>
      <c r="I336" s="3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53"/>
      <c r="AQ336" s="11"/>
    </row>
    <row r="337" spans="1:43" s="1" customFormat="1">
      <c r="A337" s="115"/>
      <c r="B337" s="115"/>
      <c r="F337" s="88"/>
      <c r="G337" s="3"/>
      <c r="H337" s="3"/>
      <c r="I337" s="3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53"/>
      <c r="AQ337" s="11"/>
    </row>
    <row r="338" spans="1:43" s="1" customFormat="1">
      <c r="A338" s="115"/>
      <c r="B338" s="115"/>
      <c r="F338" s="88"/>
      <c r="G338" s="3"/>
      <c r="H338" s="3"/>
      <c r="I338" s="3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53"/>
      <c r="AQ338" s="11"/>
    </row>
    <row r="339" spans="1:43" s="1" customFormat="1">
      <c r="A339" s="115"/>
      <c r="B339" s="115"/>
      <c r="F339" s="88"/>
      <c r="G339" s="3"/>
      <c r="H339" s="3"/>
      <c r="I339" s="3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53"/>
      <c r="AQ339" s="11"/>
    </row>
    <row r="340" spans="1:43" s="1" customFormat="1">
      <c r="A340" s="115"/>
      <c r="B340" s="115"/>
      <c r="F340" s="88"/>
      <c r="G340" s="3"/>
      <c r="H340" s="3"/>
      <c r="I340" s="3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53"/>
      <c r="AQ340" s="11"/>
    </row>
    <row r="341" spans="1:43" s="1" customFormat="1">
      <c r="A341" s="115"/>
      <c r="B341" s="115"/>
      <c r="F341" s="88"/>
      <c r="G341" s="3"/>
      <c r="H341" s="3"/>
      <c r="I341" s="3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53"/>
      <c r="AQ341" s="11"/>
    </row>
    <row r="342" spans="1:43" s="1" customFormat="1">
      <c r="A342" s="115"/>
      <c r="B342" s="115"/>
      <c r="F342" s="88"/>
      <c r="G342" s="3"/>
      <c r="H342" s="3"/>
      <c r="I342" s="3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53"/>
      <c r="AQ342" s="11"/>
    </row>
    <row r="343" spans="1:43" s="1" customFormat="1">
      <c r="A343" s="115"/>
      <c r="B343" s="115"/>
      <c r="F343" s="88"/>
      <c r="G343" s="3"/>
      <c r="H343" s="3"/>
      <c r="I343" s="3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53"/>
      <c r="AQ343" s="11"/>
    </row>
    <row r="344" spans="1:43" s="1" customFormat="1">
      <c r="A344" s="115"/>
      <c r="B344" s="115"/>
      <c r="F344" s="88"/>
      <c r="G344" s="3"/>
      <c r="H344" s="3"/>
      <c r="I344" s="3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53"/>
      <c r="AQ344" s="11"/>
    </row>
    <row r="345" spans="1:43" s="1" customFormat="1">
      <c r="A345" s="115"/>
      <c r="B345" s="115"/>
      <c r="F345" s="88"/>
      <c r="G345" s="3"/>
      <c r="H345" s="3"/>
      <c r="I345" s="3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53"/>
      <c r="AQ345" s="11"/>
    </row>
    <row r="346" spans="1:43" s="1" customFormat="1">
      <c r="A346" s="115"/>
      <c r="B346" s="115"/>
      <c r="F346" s="88"/>
      <c r="G346" s="3"/>
      <c r="H346" s="3"/>
      <c r="I346" s="3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53"/>
      <c r="AQ346" s="11"/>
    </row>
    <row r="347" spans="1:43" s="1" customFormat="1">
      <c r="A347" s="115"/>
      <c r="B347" s="115"/>
      <c r="F347" s="88"/>
      <c r="G347" s="3"/>
      <c r="H347" s="3"/>
      <c r="I347" s="3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53"/>
      <c r="AQ347" s="11"/>
    </row>
    <row r="348" spans="1:43" s="1" customFormat="1">
      <c r="A348" s="115"/>
      <c r="B348" s="115"/>
      <c r="F348" s="88"/>
      <c r="G348" s="3"/>
      <c r="H348" s="3"/>
      <c r="I348" s="3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53"/>
      <c r="AQ348" s="11"/>
    </row>
    <row r="349" spans="1:43" s="1" customFormat="1">
      <c r="A349" s="115"/>
      <c r="B349" s="115"/>
      <c r="F349" s="88"/>
      <c r="G349" s="3"/>
      <c r="H349" s="3"/>
      <c r="I349" s="3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53"/>
      <c r="AQ349" s="11"/>
    </row>
    <row r="350" spans="1:43" s="1" customFormat="1">
      <c r="A350" s="115"/>
      <c r="B350" s="115"/>
      <c r="F350" s="88"/>
      <c r="G350" s="3"/>
      <c r="H350" s="3"/>
      <c r="I350" s="3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53"/>
      <c r="AQ350" s="11"/>
    </row>
    <row r="351" spans="1:43" s="1" customFormat="1">
      <c r="A351" s="115"/>
      <c r="B351" s="115"/>
      <c r="F351" s="88"/>
      <c r="G351" s="3"/>
      <c r="H351" s="3"/>
      <c r="I351" s="3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53"/>
      <c r="AQ351" s="11"/>
    </row>
    <row r="352" spans="1:43" s="1" customFormat="1">
      <c r="A352" s="115"/>
      <c r="B352" s="115"/>
      <c r="F352" s="88"/>
      <c r="G352" s="3"/>
      <c r="H352" s="3"/>
      <c r="I352" s="3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53"/>
      <c r="AQ352" s="11"/>
    </row>
    <row r="353" spans="1:43" s="1" customFormat="1">
      <c r="A353" s="115"/>
      <c r="B353" s="115"/>
      <c r="F353" s="88"/>
      <c r="G353" s="3"/>
      <c r="H353" s="3"/>
      <c r="I353" s="3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53"/>
      <c r="AQ353" s="11"/>
    </row>
    <row r="354" spans="1:43" s="1" customFormat="1">
      <c r="A354" s="115"/>
      <c r="B354" s="115"/>
      <c r="F354" s="88"/>
      <c r="G354" s="3"/>
      <c r="H354" s="3"/>
      <c r="I354" s="3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53"/>
      <c r="AQ354" s="11"/>
    </row>
    <row r="355" spans="1:43" s="1" customFormat="1">
      <c r="A355" s="115"/>
      <c r="B355" s="115"/>
      <c r="F355" s="88"/>
      <c r="G355" s="3"/>
      <c r="H355" s="3"/>
      <c r="I355" s="3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53"/>
      <c r="AQ355" s="11"/>
    </row>
    <row r="356" spans="1:43" s="1" customFormat="1">
      <c r="A356" s="115"/>
      <c r="B356" s="115"/>
      <c r="F356" s="88"/>
      <c r="G356" s="3"/>
      <c r="H356" s="3"/>
      <c r="I356" s="3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53"/>
      <c r="AQ356" s="11"/>
    </row>
    <row r="357" spans="1:43" s="1" customFormat="1">
      <c r="A357" s="115"/>
      <c r="B357" s="115"/>
      <c r="F357" s="88"/>
      <c r="G357" s="3"/>
      <c r="H357" s="3"/>
      <c r="I357" s="3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53"/>
      <c r="AQ357" s="11"/>
    </row>
    <row r="358" spans="1:43" s="1" customFormat="1">
      <c r="A358" s="115"/>
      <c r="B358" s="115"/>
      <c r="F358" s="88"/>
      <c r="G358" s="3"/>
      <c r="H358" s="3"/>
      <c r="I358" s="3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53"/>
      <c r="AQ358" s="11"/>
    </row>
    <row r="359" spans="1:43" s="1" customFormat="1">
      <c r="A359" s="115"/>
      <c r="B359" s="115"/>
      <c r="F359" s="88"/>
      <c r="G359" s="3"/>
      <c r="H359" s="3"/>
      <c r="I359" s="3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53"/>
      <c r="AQ359" s="11"/>
    </row>
    <row r="360" spans="1:43" s="1" customFormat="1">
      <c r="A360" s="115"/>
      <c r="B360" s="115"/>
      <c r="F360" s="88"/>
      <c r="G360" s="3"/>
      <c r="H360" s="3"/>
      <c r="I360" s="3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53"/>
      <c r="AQ360" s="11"/>
    </row>
    <row r="361" spans="1:43" s="1" customFormat="1">
      <c r="A361" s="115"/>
      <c r="B361" s="115"/>
      <c r="F361" s="88"/>
      <c r="G361" s="3"/>
      <c r="H361" s="3"/>
      <c r="I361" s="3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53"/>
      <c r="AQ361" s="11"/>
    </row>
    <row r="362" spans="1:43" s="1" customFormat="1">
      <c r="A362" s="115" t="str">
        <f>Components!B176</f>
        <v>Maintenance Bldg</v>
      </c>
      <c r="B362" s="115" t="str">
        <f>Components!C176</f>
        <v>Fire alarm system - Shop</v>
      </c>
      <c r="F362" s="88"/>
      <c r="G362" s="3"/>
      <c r="H362" s="3"/>
      <c r="I362" s="3"/>
      <c r="K362" s="11" t="e">
        <f>IF('FF Balance'!#REF!&gt;=0,PPMT(EarningsRate,1,Components!K176,0,-'FF Balance'!#REF!,0),0)</f>
        <v>#REF!</v>
      </c>
      <c r="L362" s="11" t="e">
        <f>IF(Components!M176&gt;0,PPMT(EarningsRate,1,Components!$K176,0,-Components!M176*((1+InflationRate)^Components!$K176),0),K362)</f>
        <v>#REF!</v>
      </c>
      <c r="M362" s="11" t="e">
        <f>IF(Components!N176&gt;0,PPMT(EarningsRate,1,Components!$K176,0,-Components!N176*((1+InflationRate)^Components!$K176),0),L362)</f>
        <v>#REF!</v>
      </c>
      <c r="N362" s="11" t="e">
        <f>IF(Components!O176&gt;0,PPMT(EarningsRate,1,Components!$K176,0,-Components!O176*((1+InflationRate)^Components!$K176),0),M362)</f>
        <v>#REF!</v>
      </c>
      <c r="O362" s="11" t="e">
        <f>IF(Components!P176&gt;0,PPMT(EarningsRate,1,Components!$K176,0,-Components!P176*((1+InflationRate)^Components!$K176),0),N362)</f>
        <v>#REF!</v>
      </c>
      <c r="P362" s="11" t="e">
        <f>IF(Components!Q176&gt;0,PPMT(EarningsRate,1,Components!$K176,0,-Components!Q176*((1+InflationRate)^Components!$K176),0),O362)</f>
        <v>#REF!</v>
      </c>
      <c r="Q362" s="11" t="e">
        <f>IF(Components!R176&gt;0,PPMT(EarningsRate,1,Components!$K176,0,-Components!R176*((1+InflationRate)^Components!$K176),0),P362)</f>
        <v>#REF!</v>
      </c>
      <c r="R362" s="11" t="e">
        <f>IF(Components!S176&gt;0,PPMT(EarningsRate,1,Components!$K176,0,-Components!S176*((1+InflationRate)^Components!$K176),0),Q362)</f>
        <v>#REF!</v>
      </c>
      <c r="S362" s="11" t="e">
        <f>IF(Components!T176&gt;0,PPMT(EarningsRate,1,Components!$K176,0,-Components!T176*((1+InflationRate)^Components!$K176),0),R362)</f>
        <v>#REF!</v>
      </c>
      <c r="T362" s="11" t="e">
        <f>IF(Components!U176&gt;0,PPMT(EarningsRate,1,Components!$K176,0,-Components!U176*((1+InflationRate)^Components!$K176),0),S362)</f>
        <v>#REF!</v>
      </c>
      <c r="U362" s="11" t="e">
        <f>IF(Components!V176&gt;0,PPMT(EarningsRate,1,Components!$K176,0,-Components!V176*((1+InflationRate)^Components!$K176),0),T362)</f>
        <v>#REF!</v>
      </c>
      <c r="V362" s="11" t="e">
        <f>IF(Components!W176&gt;0,PPMT(EarningsRate,1,Components!$K176,0,-Components!W176*((1+InflationRate)^Components!$K176),0),U362)</f>
        <v>#REF!</v>
      </c>
      <c r="W362" s="11" t="e">
        <f>IF(Components!X176&gt;0,PPMT(EarningsRate,1,Components!$K176,0,-Components!X176*((1+InflationRate)^Components!$K176),0),V362)</f>
        <v>#REF!</v>
      </c>
      <c r="X362" s="11" t="e">
        <f>IF(Components!Y176&gt;0,PPMT(EarningsRate,1,Components!$K176,0,-Components!Y176*((1+InflationRate)^Components!$K176),0),W362)</f>
        <v>#REF!</v>
      </c>
      <c r="Y362" s="11">
        <f>IF(Components!Z176&gt;0,PPMT(EarningsRate,1,Components!$K176,0,-Components!Z176*((1+InflationRate)^Components!$K176),0),X362)</f>
        <v>2490.9641905759281</v>
      </c>
      <c r="Z362" s="11">
        <f>IF(Components!AA176&gt;0,PPMT(EarningsRate,1,Components!$K176,0,-Components!AA176*((1+InflationRate)^Components!$K176),0),Y362)</f>
        <v>2490.9641905759281</v>
      </c>
      <c r="AA362" s="11">
        <f>IF(Components!AB176&gt;0,PPMT(EarningsRate,1,Components!$K176,0,-Components!AB176*((1+InflationRate)^Components!$K176),0),Z362)</f>
        <v>2490.9641905759281</v>
      </c>
      <c r="AB362" s="11">
        <f>IF(Components!AC176&gt;0,PPMT(EarningsRate,1,Components!$K176,0,-Components!AC176*((1+InflationRate)^Components!$K176),0),AA362)</f>
        <v>2490.9641905759281</v>
      </c>
      <c r="AC362" s="11">
        <f>IF(Components!AD176&gt;0,PPMT(EarningsRate,1,Components!$K176,0,-Components!AD176*((1+InflationRate)^Components!$K176),0),AB362)</f>
        <v>2490.9641905759281</v>
      </c>
      <c r="AD362" s="11">
        <f>IF(Components!AE176&gt;0,PPMT(EarningsRate,1,Components!$K176,0,-Components!AE176*((1+InflationRate)^Components!$K176),0),AC362)</f>
        <v>2490.9641905759281</v>
      </c>
      <c r="AE362" s="11">
        <f>IF(Components!AF176&gt;0,PPMT(EarningsRate,1,Components!$K176,0,-Components!AF176*((1+InflationRate)^Components!$K176),0),AD362)</f>
        <v>2490.9641905759281</v>
      </c>
      <c r="AF362" s="11">
        <f>IF(Components!AG176&gt;0,PPMT(EarningsRate,1,Components!$K176,0,-Components!AG176*((1+InflationRate)^Components!$K176),0),AE362)</f>
        <v>2490.9641905759281</v>
      </c>
      <c r="AG362" s="11">
        <f>IF(Components!AH176&gt;0,PPMT(EarningsRate,1,Components!$K176,0,-Components!AH176*((1+InflationRate)^Components!$K176),0),AF362)</f>
        <v>2490.9641905759281</v>
      </c>
      <c r="AH362" s="11">
        <f>IF(Components!AI176&gt;0,PPMT(EarningsRate,1,Components!$K176,0,-Components!AI176*((1+InflationRate)^Components!$K176),0),AG362)</f>
        <v>2490.9641905759281</v>
      </c>
      <c r="AI362" s="11">
        <f>IF(Components!AJ176&gt;0,PPMT(EarningsRate,1,Components!$K176,0,-Components!AJ176*((1+InflationRate)^Components!$K176),0),AH362)</f>
        <v>2490.9641905759281</v>
      </c>
      <c r="AJ362" s="11">
        <f>IF(Components!AK176&gt;0,PPMT(EarningsRate,1,Components!$K176,0,-Components!AK176*((1+InflationRate)^Components!$K176),0),AI362)</f>
        <v>2490.9641905759281</v>
      </c>
      <c r="AK362" s="11">
        <f>IF(Components!AL176&gt;0,PPMT(EarningsRate,1,Components!$K176,0,-Components!AL176*((1+InflationRate)^Components!$K176),0),AJ362)</f>
        <v>2490.9641905759281</v>
      </c>
      <c r="AL362" s="11">
        <f>IF(Components!AM176&gt;0,PPMT(EarningsRate,1,Components!$K176,0,-Components!AM176*((1+InflationRate)^Components!$K176),0),AK362)</f>
        <v>2490.9641905759281</v>
      </c>
      <c r="AM362" s="11">
        <f>IF(Components!AN176&gt;0,PPMT(EarningsRate,1,Components!$K176,0,-Components!AN176*((1+InflationRate)^Components!$K176),0),AL362)</f>
        <v>2490.9641905759281</v>
      </c>
      <c r="AN362" s="11">
        <f>IF(Components!AO176&gt;0,PPMT(EarningsRate,1,Components!$K176,0,-Components!AO176*((1+InflationRate)^Components!$K176),0),AM362)</f>
        <v>4173.2474701374394</v>
      </c>
      <c r="AO362" s="11">
        <f>IF(Components!AP176&gt;0,PPMT(EarningsRate,1,Components!$K176,0,-Components!AP176*((1+InflationRate)^Components!$K176),0),AN362)</f>
        <v>4173.2474701374394</v>
      </c>
      <c r="AP362" s="53"/>
      <c r="AQ362" s="11" t="e">
        <f t="shared" ref="AQ362:AQ365" si="9">SUM(K362:AP362)+0.0001</f>
        <v>#REF!</v>
      </c>
    </row>
    <row r="363" spans="1:43" s="1" customFormat="1">
      <c r="A363" s="115" t="str">
        <f>Components!B177</f>
        <v>Maintenance Bldg</v>
      </c>
      <c r="B363" s="115" t="str">
        <f>Components!C177</f>
        <v xml:space="preserve">Furnace &amp; AC Unit </v>
      </c>
      <c r="F363" s="88"/>
      <c r="G363" s="3"/>
      <c r="H363" s="3"/>
      <c r="I363" s="3"/>
      <c r="K363" s="11" t="e">
        <f>IF('FF Balance'!#REF!&gt;=0,PPMT(EarningsRate,1,Components!K177,0,-'FF Balance'!#REF!,0),0)</f>
        <v>#REF!</v>
      </c>
      <c r="L363" s="11" t="e">
        <f>IF(Components!M177&gt;0,PPMT(EarningsRate,1,Components!$K177,0,-Components!M177*((1+InflationRate)^Components!$K177),0),K363)</f>
        <v>#REF!</v>
      </c>
      <c r="M363" s="11" t="e">
        <f>IF(Components!N177&gt;0,PPMT(EarningsRate,1,Components!$K177,0,-Components!N177*((1+InflationRate)^Components!$K177),0),L363)</f>
        <v>#REF!</v>
      </c>
      <c r="N363" s="11" t="e">
        <f>IF(Components!O177&gt;0,PPMT(EarningsRate,1,Components!$K177,0,-Components!O177*((1+InflationRate)^Components!$K177),0),M363)</f>
        <v>#REF!</v>
      </c>
      <c r="O363" s="11" t="e">
        <f>IF(Components!P177&gt;0,PPMT(EarningsRate,1,Components!$K177,0,-Components!P177*((1+InflationRate)^Components!$K177),0),N363)</f>
        <v>#REF!</v>
      </c>
      <c r="P363" s="11" t="e">
        <f>IF(Components!Q177&gt;0,PPMT(EarningsRate,1,Components!$K177,0,-Components!Q177*((1+InflationRate)^Components!$K177),0),O363)</f>
        <v>#REF!</v>
      </c>
      <c r="Q363" s="11" t="e">
        <f>IF(Components!R177&gt;0,PPMT(EarningsRate,1,Components!$K177,0,-Components!R177*((1+InflationRate)^Components!$K177),0),P363)</f>
        <v>#REF!</v>
      </c>
      <c r="R363" s="11" t="e">
        <f>IF(Components!S177&gt;0,PPMT(EarningsRate,1,Components!$K177,0,-Components!S177*((1+InflationRate)^Components!$K177),0),Q363)</f>
        <v>#REF!</v>
      </c>
      <c r="S363" s="11" t="e">
        <f>IF(Components!T177&gt;0,PPMT(EarningsRate,1,Components!$K177,0,-Components!T177*((1+InflationRate)^Components!$K177),0),R363)</f>
        <v>#REF!</v>
      </c>
      <c r="T363" s="11" t="e">
        <f>IF(Components!U177&gt;0,PPMT(EarningsRate,1,Components!$K177,0,-Components!U177*((1+InflationRate)^Components!$K177),0),S363)</f>
        <v>#REF!</v>
      </c>
      <c r="U363" s="11" t="e">
        <f>IF(Components!V177&gt;0,PPMT(EarningsRate,1,Components!$K177,0,-Components!V177*((1+InflationRate)^Components!$K177),0),T363)</f>
        <v>#REF!</v>
      </c>
      <c r="V363" s="11" t="e">
        <f>IF(Components!W177&gt;0,PPMT(EarningsRate,1,Components!$K177,0,-Components!W177*((1+InflationRate)^Components!$K177),0),U363)</f>
        <v>#REF!</v>
      </c>
      <c r="W363" s="11" t="e">
        <f>IF(Components!X177&gt;0,PPMT(EarningsRate,1,Components!$K177,0,-Components!X177*((1+InflationRate)^Components!$K177),0),V363)</f>
        <v>#REF!</v>
      </c>
      <c r="X363" s="11" t="e">
        <f>IF(Components!Y177&gt;0,PPMT(EarningsRate,1,Components!$K177,0,-Components!Y177*((1+InflationRate)^Components!$K177),0),W363)</f>
        <v>#REF!</v>
      </c>
      <c r="Y363" s="11" t="e">
        <f>IF(Components!Z177&gt;0,PPMT(EarningsRate,1,Components!$K177,0,-Components!Z177*((1+InflationRate)^Components!$K177),0),X363)</f>
        <v>#REF!</v>
      </c>
      <c r="Z363" s="11" t="e">
        <f>IF(Components!AA177&gt;0,PPMT(EarningsRate,1,Components!$K177,0,-Components!AA177*((1+InflationRate)^Components!$K177),0),Y363)</f>
        <v>#REF!</v>
      </c>
      <c r="AA363" s="11" t="e">
        <f>IF(Components!AB177&gt;0,PPMT(EarningsRate,1,Components!$K177,0,-Components!AB177*((1+InflationRate)^Components!$K177),0),Z363)</f>
        <v>#REF!</v>
      </c>
      <c r="AB363" s="11" t="e">
        <f>IF(Components!AC177&gt;0,PPMT(EarningsRate,1,Components!$K177,0,-Components!AC177*((1+InflationRate)^Components!$K177),0),AA363)</f>
        <v>#REF!</v>
      </c>
      <c r="AC363" s="11" t="e">
        <f>IF(Components!AD177&gt;0,PPMT(EarningsRate,1,Components!$K177,0,-Components!AD177*((1+InflationRate)^Components!$K177),0),AB363)</f>
        <v>#REF!</v>
      </c>
      <c r="AD363" s="11" t="e">
        <f>IF(Components!AE177&gt;0,PPMT(EarningsRate,1,Components!$K177,0,-Components!AE177*((1+InflationRate)^Components!$K177),0),AC363)</f>
        <v>#REF!</v>
      </c>
      <c r="AE363" s="11" t="e">
        <f>IF(Components!AF177&gt;0,PPMT(EarningsRate,1,Components!$K177,0,-Components!AF177*((1+InflationRate)^Components!$K177),0),AD363)</f>
        <v>#REF!</v>
      </c>
      <c r="AF363" s="11" t="e">
        <f>IF(Components!AG177&gt;0,PPMT(EarningsRate,1,Components!$K177,0,-Components!AG177*((1+InflationRate)^Components!$K177),0),AE363)</f>
        <v>#REF!</v>
      </c>
      <c r="AG363" s="11" t="e">
        <f>IF(Components!AH177&gt;0,PPMT(EarningsRate,1,Components!$K177,0,-Components!AH177*((1+InflationRate)^Components!$K177),0),AF363)</f>
        <v>#REF!</v>
      </c>
      <c r="AH363" s="11" t="e">
        <f>IF(Components!AI177&gt;0,PPMT(EarningsRate,1,Components!$K177,0,-Components!AI177*((1+InflationRate)^Components!$K177),0),AG363)</f>
        <v>#REF!</v>
      </c>
      <c r="AI363" s="11" t="e">
        <f>IF(Components!AJ177&gt;0,PPMT(EarningsRate,1,Components!$K177,0,-Components!AJ177*((1+InflationRate)^Components!$K177),0),AH363)</f>
        <v>#REF!</v>
      </c>
      <c r="AJ363" s="11" t="e">
        <f>IF(Components!AK177&gt;0,PPMT(EarningsRate,1,Components!$K177,0,-Components!AK177*((1+InflationRate)^Components!$K177),0),AI363)</f>
        <v>#REF!</v>
      </c>
      <c r="AK363" s="11" t="e">
        <f>IF(Components!AL177&gt;0,PPMT(EarningsRate,1,Components!$K177,0,-Components!AL177*((1+InflationRate)^Components!$K177),0),AJ363)</f>
        <v>#REF!</v>
      </c>
      <c r="AL363" s="11" t="e">
        <f>IF(Components!AM177&gt;0,PPMT(EarningsRate,1,Components!$K177,0,-Components!AM177*((1+InflationRate)^Components!$K177),0),AK363)</f>
        <v>#REF!</v>
      </c>
      <c r="AM363" s="11" t="e">
        <f>IF(Components!AN177&gt;0,PPMT(EarningsRate,1,Components!$K177,0,-Components!AN177*((1+InflationRate)^Components!$K177),0),AL363)</f>
        <v>#REF!</v>
      </c>
      <c r="AN363" s="11" t="e">
        <f>IF(Components!AO177&gt;0,PPMT(EarningsRate,1,Components!$K177,0,-Components!AO177*((1+InflationRate)^Components!$K177),0),AM363)</f>
        <v>#REF!</v>
      </c>
      <c r="AO363" s="11">
        <f>IF(Components!AP177&gt;0,PPMT(EarningsRate,1,Components!$K177,0,-Components!AP177*((1+InflationRate)^Components!$K177),0),AN363)</f>
        <v>3087.8448563062129</v>
      </c>
      <c r="AP363" s="53"/>
      <c r="AQ363" s="11" t="e">
        <f t="shared" si="9"/>
        <v>#REF!</v>
      </c>
    </row>
    <row r="364" spans="1:43" s="1" customFormat="1">
      <c r="A364" s="115" t="str">
        <f>Components!B178</f>
        <v>Maintenance Bldg</v>
      </c>
      <c r="B364" s="115" t="str">
        <f>Components!C178</f>
        <v>Gas Dispensor</v>
      </c>
      <c r="F364" s="88"/>
      <c r="G364" s="3"/>
      <c r="H364" s="3"/>
      <c r="I364" s="3"/>
      <c r="K364" s="11" t="e">
        <f>IF('FF Balance'!#REF!&gt;=0,PPMT(EarningsRate,1,Components!K178,0,-'FF Balance'!#REF!,0),0)</f>
        <v>#REF!</v>
      </c>
      <c r="L364" s="11" t="e">
        <f>IF(Components!M178&gt;0,PPMT(EarningsRate,1,Components!$K178,0,-Components!M178*((1+InflationRate)^Components!$K178),0),K364)</f>
        <v>#REF!</v>
      </c>
      <c r="M364" s="11" t="e">
        <f>IF(Components!N178&gt;0,PPMT(EarningsRate,1,Components!$K178,0,-Components!N178*((1+InflationRate)^Components!$K178),0),L364)</f>
        <v>#REF!</v>
      </c>
      <c r="N364" s="11" t="e">
        <f>IF(Components!O178&gt;0,PPMT(EarningsRate,1,Components!$K178,0,-Components!O178*((1+InflationRate)^Components!$K178),0),M364)</f>
        <v>#REF!</v>
      </c>
      <c r="O364" s="11" t="e">
        <f>IF(Components!P178&gt;0,PPMT(EarningsRate,1,Components!$K178,0,-Components!P178*((1+InflationRate)^Components!$K178),0),N364)</f>
        <v>#REF!</v>
      </c>
      <c r="P364" s="11" t="e">
        <f>IF(Components!Q178&gt;0,PPMT(EarningsRate,1,Components!$K178,0,-Components!Q178*((1+InflationRate)^Components!$K178),0),O364)</f>
        <v>#REF!</v>
      </c>
      <c r="Q364" s="11" t="e">
        <f>IF(Components!R178&gt;0,PPMT(EarningsRate,1,Components!$K178,0,-Components!R178*((1+InflationRate)^Components!$K178),0),P364)</f>
        <v>#REF!</v>
      </c>
      <c r="R364" s="11" t="e">
        <f>IF(Components!S178&gt;0,PPMT(EarningsRate,1,Components!$K178,0,-Components!S178*((1+InflationRate)^Components!$K178),0),Q364)</f>
        <v>#REF!</v>
      </c>
      <c r="S364" s="11" t="e">
        <f>IF(Components!T178&gt;0,PPMT(EarningsRate,1,Components!$K178,0,-Components!T178*((1+InflationRate)^Components!$K178),0),R364)</f>
        <v>#REF!</v>
      </c>
      <c r="T364" s="11" t="e">
        <f>IF(Components!U178&gt;0,PPMT(EarningsRate,1,Components!$K178,0,-Components!U178*((1+InflationRate)^Components!$K178),0),S364)</f>
        <v>#REF!</v>
      </c>
      <c r="U364" s="11" t="e">
        <f>IF(Components!V178&gt;0,PPMT(EarningsRate,1,Components!$K178,0,-Components!V178*((1+InflationRate)^Components!$K178),0),T364)</f>
        <v>#REF!</v>
      </c>
      <c r="V364" s="11" t="e">
        <f>IF(Components!W178&gt;0,PPMT(EarningsRate,1,Components!$K178,0,-Components!W178*((1+InflationRate)^Components!$K178),0),U364)</f>
        <v>#REF!</v>
      </c>
      <c r="W364" s="11">
        <f>IF(Components!X178&gt;0,PPMT(EarningsRate,1,Components!$K178,0,-Components!X178*((1+InflationRate)^Components!$K178),0),V364)</f>
        <v>2037.5625324239975</v>
      </c>
      <c r="X364" s="11">
        <f>IF(Components!Y178&gt;0,PPMT(EarningsRate,1,Components!$K178,0,-Components!Y178*((1+InflationRate)^Components!$K178),0),W364)</f>
        <v>2037.5625324239975</v>
      </c>
      <c r="Y364" s="11">
        <f>IF(Components!Z178&gt;0,PPMT(EarningsRate,1,Components!$K178,0,-Components!Z178*((1+InflationRate)^Components!$K178),0),X364)</f>
        <v>2037.5625324239975</v>
      </c>
      <c r="Z364" s="11">
        <f>IF(Components!AA178&gt;0,PPMT(EarningsRate,1,Components!$K178,0,-Components!AA178*((1+InflationRate)^Components!$K178),0),Y364)</f>
        <v>2037.5625324239975</v>
      </c>
      <c r="AA364" s="11">
        <f>IF(Components!AB178&gt;0,PPMT(EarningsRate,1,Components!$K178,0,-Components!AB178*((1+InflationRate)^Components!$K178),0),Z364)</f>
        <v>2037.5625324239975</v>
      </c>
      <c r="AB364" s="11">
        <f>IF(Components!AC178&gt;0,PPMT(EarningsRate,1,Components!$K178,0,-Components!AC178*((1+InflationRate)^Components!$K178),0),AA364)</f>
        <v>2037.5625324239975</v>
      </c>
      <c r="AC364" s="11">
        <f>IF(Components!AD178&gt;0,PPMT(EarningsRate,1,Components!$K178,0,-Components!AD178*((1+InflationRate)^Components!$K178),0),AB364)</f>
        <v>2037.5625324239975</v>
      </c>
      <c r="AD364" s="11">
        <f>IF(Components!AE178&gt;0,PPMT(EarningsRate,1,Components!$K178,0,-Components!AE178*((1+InflationRate)^Components!$K178),0),AC364)</f>
        <v>2037.5625324239975</v>
      </c>
      <c r="AE364" s="11">
        <f>IF(Components!AF178&gt;0,PPMT(EarningsRate,1,Components!$K178,0,-Components!AF178*((1+InflationRate)^Components!$K178),0),AD364)</f>
        <v>2037.5625324239975</v>
      </c>
      <c r="AF364" s="11">
        <f>IF(Components!AG178&gt;0,PPMT(EarningsRate,1,Components!$K178,0,-Components!AG178*((1+InflationRate)^Components!$K178),0),AE364)</f>
        <v>2037.5625324239975</v>
      </c>
      <c r="AG364" s="11">
        <f>IF(Components!AH178&gt;0,PPMT(EarningsRate,1,Components!$K178,0,-Components!AH178*((1+InflationRate)^Components!$K178),0),AF364)</f>
        <v>2037.5625324239975</v>
      </c>
      <c r="AH364" s="11">
        <f>IF(Components!AI178&gt;0,PPMT(EarningsRate,1,Components!$K178,0,-Components!AI178*((1+InflationRate)^Components!$K178),0),AG364)</f>
        <v>2037.5625324239975</v>
      </c>
      <c r="AI364" s="11">
        <f>IF(Components!AJ178&gt;0,PPMT(EarningsRate,1,Components!$K178,0,-Components!AJ178*((1+InflationRate)^Components!$K178),0),AH364)</f>
        <v>2037.5625324239975</v>
      </c>
      <c r="AJ364" s="11">
        <f>IF(Components!AK178&gt;0,PPMT(EarningsRate,1,Components!$K178,0,-Components!AK178*((1+InflationRate)^Components!$K178),0),AI364)</f>
        <v>2037.5625324239975</v>
      </c>
      <c r="AK364" s="11">
        <f>IF(Components!AL178&gt;0,PPMT(EarningsRate,1,Components!$K178,0,-Components!AL178*((1+InflationRate)^Components!$K178),0),AJ364)</f>
        <v>2037.5625324239975</v>
      </c>
      <c r="AL364" s="11">
        <f>IF(Components!AM178&gt;0,PPMT(EarningsRate,1,Components!$K178,0,-Components!AM178*((1+InflationRate)^Components!$K178),0),AK364)</f>
        <v>2037.5625324239975</v>
      </c>
      <c r="AM364" s="11">
        <f>IF(Components!AN178&gt;0,PPMT(EarningsRate,1,Components!$K178,0,-Components!AN178*((1+InflationRate)^Components!$K178),0),AL364)</f>
        <v>2037.5625324239975</v>
      </c>
      <c r="AN364" s="11">
        <f>IF(Components!AO178&gt;0,PPMT(EarningsRate,1,Components!$K178,0,-Components!AO178*((1+InflationRate)^Components!$K178),0),AM364)</f>
        <v>2037.5625324239975</v>
      </c>
      <c r="AO364" s="11">
        <f>IF(Components!AP178&gt;0,PPMT(EarningsRate,1,Components!$K178,0,-Components!AP178*((1+InflationRate)^Components!$K178),0),AN364)</f>
        <v>2037.5625324239975</v>
      </c>
      <c r="AP364" s="53"/>
      <c r="AQ364" s="11" t="e">
        <f t="shared" si="9"/>
        <v>#REF!</v>
      </c>
    </row>
    <row r="365" spans="1:43" s="1" customFormat="1">
      <c r="A365" s="115" t="str">
        <f>Components!B179</f>
        <v>Maintenance Bldg</v>
      </c>
      <c r="B365" s="115" t="str">
        <f>Components!C179</f>
        <v>Gas Monitoring System</v>
      </c>
      <c r="F365" s="88"/>
      <c r="G365" s="3"/>
      <c r="H365" s="3"/>
      <c r="I365" s="3"/>
      <c r="K365" s="11" t="e">
        <f>IF('FF Balance'!#REF!&gt;=0,PPMT(EarningsRate,1,Components!K179,0,-'FF Balance'!#REF!,0),0)</f>
        <v>#REF!</v>
      </c>
      <c r="L365" s="11" t="e">
        <f>IF(Components!M179&gt;0,PPMT(EarningsRate,1,Components!$K179,0,-Components!M179*((1+InflationRate)^Components!$K179),0),K365)</f>
        <v>#REF!</v>
      </c>
      <c r="M365" s="11" t="e">
        <f>IF(Components!N179&gt;0,PPMT(EarningsRate,1,Components!$K179,0,-Components!N179*((1+InflationRate)^Components!$K179),0),L365)</f>
        <v>#REF!</v>
      </c>
      <c r="N365" s="11" t="e">
        <f>IF(Components!O179&gt;0,PPMT(EarningsRate,1,Components!$K179,0,-Components!O179*((1+InflationRate)^Components!$K179),0),M365)</f>
        <v>#REF!</v>
      </c>
      <c r="O365" s="11" t="e">
        <f>IF(Components!P179&gt;0,PPMT(EarningsRate,1,Components!$K179,0,-Components!P179*((1+InflationRate)^Components!$K179),0),N365)</f>
        <v>#REF!</v>
      </c>
      <c r="P365" s="11" t="e">
        <f>IF(Components!Q179&gt;0,PPMT(EarningsRate,1,Components!$K179,0,-Components!Q179*((1+InflationRate)^Components!$K179),0),O365)</f>
        <v>#REF!</v>
      </c>
      <c r="Q365" s="11" t="e">
        <f>IF(Components!R179&gt;0,PPMT(EarningsRate,1,Components!$K179,0,-Components!R179*((1+InflationRate)^Components!$K179),0),P365)</f>
        <v>#REF!</v>
      </c>
      <c r="R365" s="11" t="e">
        <f>IF(Components!S179&gt;0,PPMT(EarningsRate,1,Components!$K179,0,-Components!S179*((1+InflationRate)^Components!$K179),0),Q365)</f>
        <v>#REF!</v>
      </c>
      <c r="S365" s="11" t="e">
        <f>IF(Components!T179&gt;0,PPMT(EarningsRate,1,Components!$K179,0,-Components!T179*((1+InflationRate)^Components!$K179),0),R365)</f>
        <v>#REF!</v>
      </c>
      <c r="T365" s="11" t="e">
        <f>IF(Components!U179&gt;0,PPMT(EarningsRate,1,Components!$K179,0,-Components!U179*((1+InflationRate)^Components!$K179),0),S365)</f>
        <v>#REF!</v>
      </c>
      <c r="U365" s="11" t="e">
        <f>IF(Components!V179&gt;0,PPMT(EarningsRate,1,Components!$K179,0,-Components!V179*((1+InflationRate)^Components!$K179),0),T365)</f>
        <v>#REF!</v>
      </c>
      <c r="V365" s="11" t="e">
        <f>IF(Components!W179&gt;0,PPMT(EarningsRate,1,Components!$K179,0,-Components!W179*((1+InflationRate)^Components!$K179),0),U365)</f>
        <v>#REF!</v>
      </c>
      <c r="W365" s="11">
        <f>IF(Components!X179&gt;0,PPMT(EarningsRate,1,Components!$K179,0,-Components!X179*((1+InflationRate)^Components!$K179),0),V365)</f>
        <v>679.21453776823842</v>
      </c>
      <c r="X365" s="11">
        <f>IF(Components!Y179&gt;0,PPMT(EarningsRate,1,Components!$K179,0,-Components!Y179*((1+InflationRate)^Components!$K179),0),W365)</f>
        <v>679.21453776823842</v>
      </c>
      <c r="Y365" s="11">
        <f>IF(Components!Z179&gt;0,PPMT(EarningsRate,1,Components!$K179,0,-Components!Z179*((1+InflationRate)^Components!$K179),0),X365)</f>
        <v>679.21453776823842</v>
      </c>
      <c r="Z365" s="11">
        <f>IF(Components!AA179&gt;0,PPMT(EarningsRate,1,Components!$K179,0,-Components!AA179*((1+InflationRate)^Components!$K179),0),Y365)</f>
        <v>679.21453776823842</v>
      </c>
      <c r="AA365" s="11">
        <f>IF(Components!AB179&gt;0,PPMT(EarningsRate,1,Components!$K179,0,-Components!AB179*((1+InflationRate)^Components!$K179),0),Z365)</f>
        <v>679.21453776823842</v>
      </c>
      <c r="AB365" s="11">
        <f>IF(Components!AC179&gt;0,PPMT(EarningsRate,1,Components!$K179,0,-Components!AC179*((1+InflationRate)^Components!$K179),0),AA365)</f>
        <v>679.21453776823842</v>
      </c>
      <c r="AC365" s="11">
        <f>IF(Components!AD179&gt;0,PPMT(EarningsRate,1,Components!$K179,0,-Components!AD179*((1+InflationRate)^Components!$K179),0),AB365)</f>
        <v>679.21453776823842</v>
      </c>
      <c r="AD365" s="11">
        <f>IF(Components!AE179&gt;0,PPMT(EarningsRate,1,Components!$K179,0,-Components!AE179*((1+InflationRate)^Components!$K179),0),AC365)</f>
        <v>679.21453776823842</v>
      </c>
      <c r="AE365" s="11">
        <f>IF(Components!AF179&gt;0,PPMT(EarningsRate,1,Components!$K179,0,-Components!AF179*((1+InflationRate)^Components!$K179),0),AD365)</f>
        <v>679.21453776823842</v>
      </c>
      <c r="AF365" s="11">
        <f>IF(Components!AG179&gt;0,PPMT(EarningsRate,1,Components!$K179,0,-Components!AG179*((1+InflationRate)^Components!$K179),0),AE365)</f>
        <v>679.21453776823842</v>
      </c>
      <c r="AG365" s="11">
        <f>IF(Components!AH179&gt;0,PPMT(EarningsRate,1,Components!$K179,0,-Components!AH179*((1+InflationRate)^Components!$K179),0),AF365)</f>
        <v>679.21453776823842</v>
      </c>
      <c r="AH365" s="11">
        <f>IF(Components!AI179&gt;0,PPMT(EarningsRate,1,Components!$K179,0,-Components!AI179*((1+InflationRate)^Components!$K179),0),AG365)</f>
        <v>679.21453776823842</v>
      </c>
      <c r="AI365" s="11">
        <f>IF(Components!AJ179&gt;0,PPMT(EarningsRate,1,Components!$K179,0,-Components!AJ179*((1+InflationRate)^Components!$K179),0),AH365)</f>
        <v>679.21453776823842</v>
      </c>
      <c r="AJ365" s="11">
        <f>IF(Components!AK179&gt;0,PPMT(EarningsRate,1,Components!$K179,0,-Components!AK179*((1+InflationRate)^Components!$K179),0),AI365)</f>
        <v>679.21453776823842</v>
      </c>
      <c r="AK365" s="11">
        <f>IF(Components!AL179&gt;0,PPMT(EarningsRate,1,Components!$K179,0,-Components!AL179*((1+InflationRate)^Components!$K179),0),AJ365)</f>
        <v>679.21453776823842</v>
      </c>
      <c r="AL365" s="11">
        <f>IF(Components!AM179&gt;0,PPMT(EarningsRate,1,Components!$K179,0,-Components!AM179*((1+InflationRate)^Components!$K179),0),AK365)</f>
        <v>679.21453776823842</v>
      </c>
      <c r="AM365" s="11">
        <f>IF(Components!AN179&gt;0,PPMT(EarningsRate,1,Components!$K179,0,-Components!AN179*((1+InflationRate)^Components!$K179),0),AL365)</f>
        <v>679.21453776823842</v>
      </c>
      <c r="AN365" s="11">
        <f>IF(Components!AO179&gt;0,PPMT(EarningsRate,1,Components!$K179,0,-Components!AO179*((1+InflationRate)^Components!$K179),0),AM365)</f>
        <v>679.21453776823842</v>
      </c>
      <c r="AO365" s="11">
        <f>IF(Components!AP179&gt;0,PPMT(EarningsRate,1,Components!$K179,0,-Components!AP179*((1+InflationRate)^Components!$K179),0),AN365)</f>
        <v>679.21453776823842</v>
      </c>
      <c r="AP365" s="53"/>
      <c r="AQ365" s="11" t="e">
        <f t="shared" si="9"/>
        <v>#REF!</v>
      </c>
    </row>
    <row r="366" spans="1:43" s="1" customFormat="1">
      <c r="A366" s="115" t="str">
        <f>Components!B180</f>
        <v>Maintenance Bldg</v>
      </c>
      <c r="B366" s="115" t="str">
        <f>Components!C180</f>
        <v>Gas Storage Tank</v>
      </c>
      <c r="F366" s="88"/>
      <c r="G366" s="3"/>
      <c r="H366" s="3"/>
      <c r="I366" s="3"/>
      <c r="K366" s="11" t="e">
        <f>IF('FF Balance'!#REF!&gt;=0,PPMT(EarningsRate,1,Components!K180,0,-'FF Balance'!#REF!,0),0)</f>
        <v>#REF!</v>
      </c>
      <c r="L366" s="11" t="e">
        <f>IF(Components!M180&gt;0,PPMT(EarningsRate,1,Components!$K180,0,-Components!M180*((1+InflationRate)^Components!$K180),0),K366)</f>
        <v>#REF!</v>
      </c>
      <c r="M366" s="11" t="e">
        <f>IF(Components!N180&gt;0,PPMT(EarningsRate,1,Components!$K180,0,-Components!N180*((1+InflationRate)^Components!$K180),0),L366)</f>
        <v>#REF!</v>
      </c>
      <c r="N366" s="11" t="e">
        <f>IF(Components!O180&gt;0,PPMT(EarningsRate,1,Components!$K180,0,-Components!O180*((1+InflationRate)^Components!$K180),0),M366)</f>
        <v>#REF!</v>
      </c>
      <c r="O366" s="11" t="e">
        <f>IF(Components!P180&gt;0,PPMT(EarningsRate,1,Components!$K180,0,-Components!P180*((1+InflationRate)^Components!$K180),0),N366)</f>
        <v>#REF!</v>
      </c>
      <c r="P366" s="11" t="e">
        <f>IF(Components!Q180&gt;0,PPMT(EarningsRate,1,Components!$K180,0,-Components!Q180*((1+InflationRate)^Components!$K180),0),O366)</f>
        <v>#REF!</v>
      </c>
      <c r="Q366" s="11" t="e">
        <f>IF(Components!R180&gt;0,PPMT(EarningsRate,1,Components!$K180,0,-Components!R180*((1+InflationRate)^Components!$K180),0),P366)</f>
        <v>#REF!</v>
      </c>
      <c r="R366" s="11" t="e">
        <f>IF(Components!S180&gt;0,PPMT(EarningsRate,1,Components!$K180,0,-Components!S180*((1+InflationRate)^Components!$K180),0),Q366)</f>
        <v>#REF!</v>
      </c>
      <c r="S366" s="11" t="e">
        <f>IF(Components!T180&gt;0,PPMT(EarningsRate,1,Components!$K180,0,-Components!T180*((1+InflationRate)^Components!$K180),0),R366)</f>
        <v>#REF!</v>
      </c>
      <c r="T366" s="11" t="e">
        <f>IF(Components!U180&gt;0,PPMT(EarningsRate,1,Components!$K180,0,-Components!U180*((1+InflationRate)^Components!$K180),0),S366)</f>
        <v>#REF!</v>
      </c>
      <c r="U366" s="11" t="e">
        <f>IF(Components!V180&gt;0,PPMT(EarningsRate,1,Components!$K180,0,-Components!V180*((1+InflationRate)^Components!$K180),0),T366)</f>
        <v>#REF!</v>
      </c>
      <c r="V366" s="11" t="e">
        <f>IF(Components!W180&gt;0,PPMT(EarningsRate,1,Components!$K180,0,-Components!W180*((1+InflationRate)^Components!$K180),0),U366)</f>
        <v>#REF!</v>
      </c>
      <c r="W366" s="11">
        <f>IF(Components!X180&gt;0,PPMT(EarningsRate,1,Components!$K180,0,-Components!X180*((1+InflationRate)^Components!$K180),0),V366)</f>
        <v>10187.893743000704</v>
      </c>
      <c r="X366" s="11">
        <f>IF(Components!Y180&gt;0,PPMT(EarningsRate,1,Components!$K180,0,-Components!Y180*((1+InflationRate)^Components!$K180),0),W366)</f>
        <v>10187.893743000704</v>
      </c>
      <c r="Y366" s="11">
        <f>IF(Components!Z180&gt;0,PPMT(EarningsRate,1,Components!$K180,0,-Components!Z180*((1+InflationRate)^Components!$K180),0),X366)</f>
        <v>10187.893743000704</v>
      </c>
      <c r="Z366" s="11">
        <f>IF(Components!AA180&gt;0,PPMT(EarningsRate,1,Components!$K180,0,-Components!AA180*((1+InflationRate)^Components!$K180),0),Y366)</f>
        <v>10187.893743000704</v>
      </c>
      <c r="AA366" s="11">
        <f>IF(Components!AB180&gt;0,PPMT(EarningsRate,1,Components!$K180,0,-Components!AB180*((1+InflationRate)^Components!$K180),0),Z366)</f>
        <v>10187.893743000704</v>
      </c>
      <c r="AB366" s="11">
        <f>IF(Components!AC180&gt;0,PPMT(EarningsRate,1,Components!$K180,0,-Components!AC180*((1+InflationRate)^Components!$K180),0),AA366)</f>
        <v>10187.893743000704</v>
      </c>
      <c r="AC366" s="11">
        <f>IF(Components!AD180&gt;0,PPMT(EarningsRate,1,Components!$K180,0,-Components!AD180*((1+InflationRate)^Components!$K180),0),AB366)</f>
        <v>10187.893743000704</v>
      </c>
      <c r="AD366" s="11">
        <f>IF(Components!AE180&gt;0,PPMT(EarningsRate,1,Components!$K180,0,-Components!AE180*((1+InflationRate)^Components!$K180),0),AC366)</f>
        <v>10187.893743000704</v>
      </c>
      <c r="AE366" s="11">
        <f>IF(Components!AF180&gt;0,PPMT(EarningsRate,1,Components!$K180,0,-Components!AF180*((1+InflationRate)^Components!$K180),0),AD366)</f>
        <v>10187.893743000704</v>
      </c>
      <c r="AF366" s="11">
        <f>IF(Components!AG180&gt;0,PPMT(EarningsRate,1,Components!$K180,0,-Components!AG180*((1+InflationRate)^Components!$K180),0),AE366)</f>
        <v>10187.893743000704</v>
      </c>
      <c r="AG366" s="11">
        <f>IF(Components!AH180&gt;0,PPMT(EarningsRate,1,Components!$K180,0,-Components!AH180*((1+InflationRate)^Components!$K180),0),AF366)</f>
        <v>10187.893743000704</v>
      </c>
      <c r="AH366" s="11">
        <f>IF(Components!AI180&gt;0,PPMT(EarningsRate,1,Components!$K180,0,-Components!AI180*((1+InflationRate)^Components!$K180),0),AG366)</f>
        <v>10187.893743000704</v>
      </c>
      <c r="AI366" s="11">
        <f>IF(Components!AJ180&gt;0,PPMT(EarningsRate,1,Components!$K180,0,-Components!AJ180*((1+InflationRate)^Components!$K180),0),AH366)</f>
        <v>10187.893743000704</v>
      </c>
      <c r="AJ366" s="11">
        <f>IF(Components!AK180&gt;0,PPMT(EarningsRate,1,Components!$K180,0,-Components!AK180*((1+InflationRate)^Components!$K180),0),AI366)</f>
        <v>10187.893743000704</v>
      </c>
      <c r="AK366" s="11">
        <f>IF(Components!AL180&gt;0,PPMT(EarningsRate,1,Components!$K180,0,-Components!AL180*((1+InflationRate)^Components!$K180),0),AJ366)</f>
        <v>10187.893743000704</v>
      </c>
      <c r="AL366" s="11">
        <f>IF(Components!AM180&gt;0,PPMT(EarningsRate,1,Components!$K180,0,-Components!AM180*((1+InflationRate)^Components!$K180),0),AK366)</f>
        <v>10187.893743000704</v>
      </c>
      <c r="AM366" s="11">
        <f>IF(Components!AN180&gt;0,PPMT(EarningsRate,1,Components!$K180,0,-Components!AN180*((1+InflationRate)^Components!$K180),0),AL366)</f>
        <v>10187.893743000704</v>
      </c>
      <c r="AN366" s="11">
        <f>IF(Components!AO180&gt;0,PPMT(EarningsRate,1,Components!$K180,0,-Components!AO180*((1+InflationRate)^Components!$K180),0),AM366)</f>
        <v>10187.893743000704</v>
      </c>
      <c r="AO366" s="11">
        <f>IF(Components!AP180&gt;0,PPMT(EarningsRate,1,Components!$K180,0,-Components!AP180*((1+InflationRate)^Components!$K180),0),AN366)</f>
        <v>10187.893743000704</v>
      </c>
      <c r="AP366" s="53"/>
      <c r="AQ366" s="11" t="e">
        <f t="shared" ref="AQ366:AQ370" si="10">SUM(K366:AP366)+0.0001</f>
        <v>#REF!</v>
      </c>
    </row>
    <row r="367" spans="1:43" s="1" customFormat="1">
      <c r="A367" s="115" t="str">
        <f>Components!B181</f>
        <v>Maintenance Bldg</v>
      </c>
      <c r="B367" s="115" t="str">
        <f>Components!C181</f>
        <v>Inventory Remodel</v>
      </c>
      <c r="F367" s="88"/>
      <c r="G367" s="3"/>
      <c r="H367" s="3"/>
      <c r="I367" s="3"/>
      <c r="K367" s="11" t="e">
        <f>IF('FF Balance'!#REF!&gt;=0,PPMT(EarningsRate,1,Components!K181,0,-'FF Balance'!#REF!,0),0)</f>
        <v>#REF!</v>
      </c>
      <c r="L367" s="11" t="e">
        <f>IF(Components!M181&gt;0,PPMT(EarningsRate,1,Components!$K181,0,-Components!M181*((1+InflationRate)^Components!$K181),0),K367)</f>
        <v>#REF!</v>
      </c>
      <c r="M367" s="11" t="e">
        <f>IF(Components!N181&gt;0,PPMT(EarningsRate,1,Components!$K181,0,-Components!N181*((1+InflationRate)^Components!$K181),0),L367)</f>
        <v>#REF!</v>
      </c>
      <c r="N367" s="11" t="e">
        <f>IF(Components!O181&gt;0,PPMT(EarningsRate,1,Components!$K181,0,-Components!O181*((1+InflationRate)^Components!$K181),0),M367)</f>
        <v>#REF!</v>
      </c>
      <c r="O367" s="11" t="e">
        <f>IF(Components!P181&gt;0,PPMT(EarningsRate,1,Components!$K181,0,-Components!P181*((1+InflationRate)^Components!$K181),0),N367)</f>
        <v>#REF!</v>
      </c>
      <c r="P367" s="11" t="e">
        <f>IF(Components!Q181&gt;0,PPMT(EarningsRate,1,Components!$K181,0,-Components!Q181*((1+InflationRate)^Components!$K181),0),O367)</f>
        <v>#REF!</v>
      </c>
      <c r="Q367" s="11" t="e">
        <f>IF(Components!R181&gt;0,PPMT(EarningsRate,1,Components!$K181,0,-Components!R181*((1+InflationRate)^Components!$K181),0),P367)</f>
        <v>#REF!</v>
      </c>
      <c r="R367" s="11" t="e">
        <f>IF(Components!S181&gt;0,PPMT(EarningsRate,1,Components!$K181,0,-Components!S181*((1+InflationRate)^Components!$K181),0),Q367)</f>
        <v>#REF!</v>
      </c>
      <c r="S367" s="11" t="e">
        <f>IF(Components!T181&gt;0,PPMT(EarningsRate,1,Components!$K181,0,-Components!T181*((1+InflationRate)^Components!$K181),0),R367)</f>
        <v>#REF!</v>
      </c>
      <c r="T367" s="11" t="e">
        <f>IF(Components!U181&gt;0,PPMT(EarningsRate,1,Components!$K181,0,-Components!U181*((1+InflationRate)^Components!$K181),0),S367)</f>
        <v>#REF!</v>
      </c>
      <c r="U367" s="11" t="e">
        <f>IF(Components!V181&gt;0,PPMT(EarningsRate,1,Components!$K181,0,-Components!V181*((1+InflationRate)^Components!$K181),0),T367)</f>
        <v>#REF!</v>
      </c>
      <c r="V367" s="11" t="e">
        <f>IF(Components!W181&gt;0,PPMT(EarningsRate,1,Components!$K181,0,-Components!W181*((1+InflationRate)^Components!$K181),0),U367)</f>
        <v>#REF!</v>
      </c>
      <c r="W367" s="11" t="e">
        <f>IF(Components!X181&gt;0,PPMT(EarningsRate,1,Components!$K181,0,-Components!X181*((1+InflationRate)^Components!$K181),0),V367)</f>
        <v>#REF!</v>
      </c>
      <c r="X367" s="11" t="e">
        <f>IF(Components!Y181&gt;0,PPMT(EarningsRate,1,Components!$K181,0,-Components!Y181*((1+InflationRate)^Components!$K181),0),W367)</f>
        <v>#REF!</v>
      </c>
      <c r="Y367" s="11" t="e">
        <f>IF(Components!Z181&gt;0,PPMT(EarningsRate,1,Components!$K181,0,-Components!Z181*((1+InflationRate)^Components!$K181),0),X367)</f>
        <v>#REF!</v>
      </c>
      <c r="Z367" s="11" t="e">
        <f>IF(Components!AA181&gt;0,PPMT(EarningsRate,1,Components!$K181,0,-Components!AA181*((1+InflationRate)^Components!$K181),0),Y367)</f>
        <v>#REF!</v>
      </c>
      <c r="AA367" s="11" t="e">
        <f>IF(Components!AB181&gt;0,PPMT(EarningsRate,1,Components!$K181,0,-Components!AB181*((1+InflationRate)^Components!$K181),0),Z367)</f>
        <v>#REF!</v>
      </c>
      <c r="AB367" s="11">
        <f>IF(Components!AC181&gt;0,PPMT(EarningsRate,1,Components!$K181,0,-Components!AC181*((1+InflationRate)^Components!$K181),0),AA367)</f>
        <v>1613.3473645114489</v>
      </c>
      <c r="AC367" s="11">
        <f>IF(Components!AD181&gt;0,PPMT(EarningsRate,1,Components!$K181,0,-Components!AD181*((1+InflationRate)^Components!$K181),0),AB367)</f>
        <v>1613.3473645114489</v>
      </c>
      <c r="AD367" s="11">
        <f>IF(Components!AE181&gt;0,PPMT(EarningsRate,1,Components!$K181,0,-Components!AE181*((1+InflationRate)^Components!$K181),0),AC367)</f>
        <v>1613.3473645114489</v>
      </c>
      <c r="AE367" s="11">
        <f>IF(Components!AF181&gt;0,PPMT(EarningsRate,1,Components!$K181,0,-Components!AF181*((1+InflationRate)^Components!$K181),0),AD367)</f>
        <v>1613.3473645114489</v>
      </c>
      <c r="AF367" s="11">
        <f>IF(Components!AG181&gt;0,PPMT(EarningsRate,1,Components!$K181,0,-Components!AG181*((1+InflationRate)^Components!$K181),0),AE367)</f>
        <v>1613.3473645114489</v>
      </c>
      <c r="AG367" s="11">
        <f>IF(Components!AH181&gt;0,PPMT(EarningsRate,1,Components!$K181,0,-Components!AH181*((1+InflationRate)^Components!$K181),0),AF367)</f>
        <v>1613.3473645114489</v>
      </c>
      <c r="AH367" s="11">
        <f>IF(Components!AI181&gt;0,PPMT(EarningsRate,1,Components!$K181,0,-Components!AI181*((1+InflationRate)^Components!$K181),0),AG367)</f>
        <v>1613.3473645114489</v>
      </c>
      <c r="AI367" s="11">
        <f>IF(Components!AJ181&gt;0,PPMT(EarningsRate,1,Components!$K181,0,-Components!AJ181*((1+InflationRate)^Components!$K181),0),AH367)</f>
        <v>1613.3473645114489</v>
      </c>
      <c r="AJ367" s="11">
        <f>IF(Components!AK181&gt;0,PPMT(EarningsRate,1,Components!$K181,0,-Components!AK181*((1+InflationRate)^Components!$K181),0),AI367)</f>
        <v>1613.3473645114489</v>
      </c>
      <c r="AK367" s="11">
        <f>IF(Components!AL181&gt;0,PPMT(EarningsRate,1,Components!$K181,0,-Components!AL181*((1+InflationRate)^Components!$K181),0),AJ367)</f>
        <v>1613.3473645114489</v>
      </c>
      <c r="AL367" s="11">
        <f>IF(Components!AM181&gt;0,PPMT(EarningsRate,1,Components!$K181,0,-Components!AM181*((1+InflationRate)^Components!$K181),0),AK367)</f>
        <v>1613.3473645114489</v>
      </c>
      <c r="AM367" s="11">
        <f>IF(Components!AN181&gt;0,PPMT(EarningsRate,1,Components!$K181,0,-Components!AN181*((1+InflationRate)^Components!$K181),0),AL367)</f>
        <v>1613.3473645114489</v>
      </c>
      <c r="AN367" s="11">
        <f>IF(Components!AO181&gt;0,PPMT(EarningsRate,1,Components!$K181,0,-Components!AO181*((1+InflationRate)^Components!$K181),0),AM367)</f>
        <v>1613.3473645114489</v>
      </c>
      <c r="AO367" s="11">
        <f>IF(Components!AP181&gt;0,PPMT(EarningsRate,1,Components!$K181,0,-Components!AP181*((1+InflationRate)^Components!$K181),0),AN367)</f>
        <v>1613.3473645114489</v>
      </c>
      <c r="AP367" s="53"/>
      <c r="AQ367" s="11" t="e">
        <f t="shared" si="10"/>
        <v>#REF!</v>
      </c>
    </row>
    <row r="368" spans="1:43" s="1" customFormat="1">
      <c r="A368" s="115" t="str">
        <f>Components!B182</f>
        <v>Maintenance Bldg</v>
      </c>
      <c r="B368" s="115" t="str">
        <f>Components!C182</f>
        <v>Paint Maintenance bldg</v>
      </c>
      <c r="F368" s="88"/>
      <c r="G368" s="3"/>
      <c r="H368" s="3"/>
      <c r="I368" s="3"/>
      <c r="K368" s="11" t="e">
        <f>IF('FF Balance'!#REF!&gt;=0,PPMT(EarningsRate,1,Components!K182,0,-'FF Balance'!#REF!,0),0)</f>
        <v>#REF!</v>
      </c>
      <c r="L368" s="11" t="e">
        <f>IF(Components!M182&gt;0,PPMT(EarningsRate,1,Components!$K182,0,-Components!M182*((1+InflationRate)^Components!$K182),0),K368)</f>
        <v>#REF!</v>
      </c>
      <c r="M368" s="11" t="e">
        <f>IF(Components!N182&gt;0,PPMT(EarningsRate,1,Components!$K182,0,-Components!N182*((1+InflationRate)^Components!$K182),0),L368)</f>
        <v>#REF!</v>
      </c>
      <c r="N368" s="11" t="e">
        <f>IF(Components!O182&gt;0,PPMT(EarningsRate,1,Components!$K182,0,-Components!O182*((1+InflationRate)^Components!$K182),0),M368)</f>
        <v>#REF!</v>
      </c>
      <c r="O368" s="11" t="e">
        <f>IF(Components!P182&gt;0,PPMT(EarningsRate,1,Components!$K182,0,-Components!P182*((1+InflationRate)^Components!$K182),0),N368)</f>
        <v>#REF!</v>
      </c>
      <c r="P368" s="11">
        <f>IF(Components!Q182&gt;0,PPMT(EarningsRate,1,Components!$K182,0,-Components!Q182*((1+InflationRate)^Components!$K182),0),O368)</f>
        <v>2437.5335631441912</v>
      </c>
      <c r="Q368" s="11">
        <f>IF(Components!R182&gt;0,PPMT(EarningsRate,1,Components!$K182,0,-Components!R182*((1+InflationRate)^Components!$K182),0),P368)</f>
        <v>2437.5335631441912</v>
      </c>
      <c r="R368" s="11">
        <f>IF(Components!S182&gt;0,PPMT(EarningsRate,1,Components!$K182,0,-Components!S182*((1+InflationRate)^Components!$K182),0),Q368)</f>
        <v>2437.5335631441912</v>
      </c>
      <c r="S368" s="11">
        <f>IF(Components!T182&gt;0,PPMT(EarningsRate,1,Components!$K182,0,-Components!T182*((1+InflationRate)^Components!$K182),0),R368)</f>
        <v>2437.5335631441912</v>
      </c>
      <c r="T368" s="11">
        <f>IF(Components!U182&gt;0,PPMT(EarningsRate,1,Components!$K182,0,-Components!U182*((1+InflationRate)^Components!$K182),0),S368)</f>
        <v>2437.5335631441912</v>
      </c>
      <c r="U368" s="11">
        <f>IF(Components!V182&gt;0,PPMT(EarningsRate,1,Components!$K182,0,-Components!V182*((1+InflationRate)^Components!$K182),0),T368)</f>
        <v>2437.5335631441912</v>
      </c>
      <c r="V368" s="11">
        <f>IF(Components!W182&gt;0,PPMT(EarningsRate,1,Components!$K182,0,-Components!W182*((1+InflationRate)^Components!$K182),0),U368)</f>
        <v>2437.5335631441912</v>
      </c>
      <c r="W368" s="11">
        <f>IF(Components!X182&gt;0,PPMT(EarningsRate,1,Components!$K182,0,-Components!X182*((1+InflationRate)^Components!$K182),0),V368)</f>
        <v>2437.5335631441912</v>
      </c>
      <c r="X368" s="11">
        <f>IF(Components!Y182&gt;0,PPMT(EarningsRate,1,Components!$K182,0,-Components!Y182*((1+InflationRate)^Components!$K182),0),W368)</f>
        <v>2437.5335631441912</v>
      </c>
      <c r="Y368" s="11">
        <f>IF(Components!Z182&gt;0,PPMT(EarningsRate,1,Components!$K182,0,-Components!Z182*((1+InflationRate)^Components!$K182),0),X368)</f>
        <v>2437.5335631441912</v>
      </c>
      <c r="Z368" s="11">
        <f>IF(Components!AA182&gt;0,PPMT(EarningsRate,1,Components!$K182,0,-Components!AA182*((1+InflationRate)^Components!$K182),0),Y368)</f>
        <v>3438.2970273054539</v>
      </c>
      <c r="AA368" s="11">
        <f>IF(Components!AB182&gt;0,PPMT(EarningsRate,1,Components!$K182,0,-Components!AB182*((1+InflationRate)^Components!$K182),0),Z368)</f>
        <v>3438.2970273054539</v>
      </c>
      <c r="AB368" s="11">
        <f>IF(Components!AC182&gt;0,PPMT(EarningsRate,1,Components!$K182,0,-Components!AC182*((1+InflationRate)^Components!$K182),0),AA368)</f>
        <v>3438.2970273054539</v>
      </c>
      <c r="AC368" s="11">
        <f>IF(Components!AD182&gt;0,PPMT(EarningsRate,1,Components!$K182,0,-Components!AD182*((1+InflationRate)^Components!$K182),0),AB368)</f>
        <v>3438.2970273054539</v>
      </c>
      <c r="AD368" s="11">
        <f>IF(Components!AE182&gt;0,PPMT(EarningsRate,1,Components!$K182,0,-Components!AE182*((1+InflationRate)^Components!$K182),0),AC368)</f>
        <v>3438.2970273054539</v>
      </c>
      <c r="AE368" s="11">
        <f>IF(Components!AF182&gt;0,PPMT(EarningsRate,1,Components!$K182,0,-Components!AF182*((1+InflationRate)^Components!$K182),0),AD368)</f>
        <v>3438.2970273054539</v>
      </c>
      <c r="AF368" s="11">
        <f>IF(Components!AG182&gt;0,PPMT(EarningsRate,1,Components!$K182,0,-Components!AG182*((1+InflationRate)^Components!$K182),0),AE368)</f>
        <v>3438.2970273054539</v>
      </c>
      <c r="AG368" s="11">
        <f>IF(Components!AH182&gt;0,PPMT(EarningsRate,1,Components!$K182,0,-Components!AH182*((1+InflationRate)^Components!$K182),0),AF368)</f>
        <v>3438.2970273054539</v>
      </c>
      <c r="AH368" s="11">
        <f>IF(Components!AI182&gt;0,PPMT(EarningsRate,1,Components!$K182,0,-Components!AI182*((1+InflationRate)^Components!$K182),0),AG368)</f>
        <v>3438.2970273054539</v>
      </c>
      <c r="AI368" s="11">
        <f>IF(Components!AJ182&gt;0,PPMT(EarningsRate,1,Components!$K182,0,-Components!AJ182*((1+InflationRate)^Components!$K182),0),AH368)</f>
        <v>3438.2970273054539</v>
      </c>
      <c r="AJ368" s="11">
        <f>IF(Components!AK182&gt;0,PPMT(EarningsRate,1,Components!$K182,0,-Components!AK182*((1+InflationRate)^Components!$K182),0),AI368)</f>
        <v>4850.1891006544411</v>
      </c>
      <c r="AK368" s="11">
        <f>IF(Components!AL182&gt;0,PPMT(EarningsRate,1,Components!$K182,0,-Components!AL182*((1+InflationRate)^Components!$K182),0),AJ368)</f>
        <v>4850.1891006544411</v>
      </c>
      <c r="AL368" s="11">
        <f>IF(Components!AM182&gt;0,PPMT(EarningsRate,1,Components!$K182,0,-Components!AM182*((1+InflationRate)^Components!$K182),0),AK368)</f>
        <v>4850.1891006544411</v>
      </c>
      <c r="AM368" s="11">
        <f>IF(Components!AN182&gt;0,PPMT(EarningsRate,1,Components!$K182,0,-Components!AN182*((1+InflationRate)^Components!$K182),0),AL368)</f>
        <v>4850.1891006544411</v>
      </c>
      <c r="AN368" s="11">
        <f>IF(Components!AO182&gt;0,PPMT(EarningsRate,1,Components!$K182,0,-Components!AO182*((1+InflationRate)^Components!$K182),0),AM368)</f>
        <v>4850.1891006544411</v>
      </c>
      <c r="AO368" s="11">
        <f>IF(Components!AP182&gt;0,PPMT(EarningsRate,1,Components!$K182,0,-Components!AP182*((1+InflationRate)^Components!$K182),0),AN368)</f>
        <v>4850.1891006544411</v>
      </c>
      <c r="AP368" s="53"/>
      <c r="AQ368" s="11" t="e">
        <f t="shared" si="10"/>
        <v>#REF!</v>
      </c>
    </row>
    <row r="369" spans="1:43" s="1" customFormat="1">
      <c r="A369" s="115" t="str">
        <f>Components!B183</f>
        <v>Maintenance Bldg</v>
      </c>
      <c r="B369" s="115" t="str">
        <f>Components!C183</f>
        <v>Roof, Shop, asphalt</v>
      </c>
      <c r="F369" s="88"/>
      <c r="G369" s="3"/>
      <c r="H369" s="3"/>
      <c r="I369" s="3"/>
      <c r="K369" s="11" t="e">
        <f>IF('FF Balance'!#REF!&gt;=0,PPMT(EarningsRate,1,Components!K183,0,-'FF Balance'!#REF!,0),0)</f>
        <v>#REF!</v>
      </c>
      <c r="L369" s="11" t="e">
        <f>IF(Components!M183&gt;0,PPMT(EarningsRate,1,Components!$K183,0,-Components!M183*((1+InflationRate)^Components!$K183),0),K369)</f>
        <v>#REF!</v>
      </c>
      <c r="M369" s="11" t="e">
        <f>IF(Components!N183&gt;0,PPMT(EarningsRate,1,Components!$K183,0,-Components!N183*((1+InflationRate)^Components!$K183),0),L369)</f>
        <v>#REF!</v>
      </c>
      <c r="N369" s="11" t="e">
        <f>IF(Components!O183&gt;0,PPMT(EarningsRate,1,Components!$K183,0,-Components!O183*((1+InflationRate)^Components!$K183),0),M369)</f>
        <v>#REF!</v>
      </c>
      <c r="O369" s="11" t="e">
        <f>IF(Components!P183&gt;0,PPMT(EarningsRate,1,Components!$K183,0,-Components!P183*((1+InflationRate)^Components!$K183),0),N369)</f>
        <v>#REF!</v>
      </c>
      <c r="P369" s="11" t="e">
        <f>IF(Components!Q183&gt;0,PPMT(EarningsRate,1,Components!$K183,0,-Components!Q183*((1+InflationRate)^Components!$K183),0),O369)</f>
        <v>#REF!</v>
      </c>
      <c r="Q369" s="11" t="e">
        <f>IF(Components!R183&gt;0,PPMT(EarningsRate,1,Components!$K183,0,-Components!R183*((1+InflationRate)^Components!$K183),0),P369)</f>
        <v>#REF!</v>
      </c>
      <c r="R369" s="11" t="e">
        <f>IF(Components!S183&gt;0,PPMT(EarningsRate,1,Components!$K183,0,-Components!S183*((1+InflationRate)^Components!$K183),0),Q369)</f>
        <v>#REF!</v>
      </c>
      <c r="S369" s="11" t="e">
        <f>IF(Components!T183&gt;0,PPMT(EarningsRate,1,Components!$K183,0,-Components!T183*((1+InflationRate)^Components!$K183),0),R369)</f>
        <v>#REF!</v>
      </c>
      <c r="T369" s="11" t="e">
        <f>IF(Components!U183&gt;0,PPMT(EarningsRate,1,Components!$K183,0,-Components!U183*((1+InflationRate)^Components!$K183),0),S369)</f>
        <v>#REF!</v>
      </c>
      <c r="U369" s="11" t="e">
        <f>IF(Components!V183&gt;0,PPMT(EarningsRate,1,Components!$K183,0,-Components!V183*((1+InflationRate)^Components!$K183),0),T369)</f>
        <v>#REF!</v>
      </c>
      <c r="V369" s="11" t="e">
        <f>IF(Components!W183&gt;0,PPMT(EarningsRate,1,Components!$K183,0,-Components!W183*((1+InflationRate)^Components!$K183),0),U369)</f>
        <v>#REF!</v>
      </c>
      <c r="W369" s="11" t="e">
        <f>IF(Components!X183&gt;0,PPMT(EarningsRate,1,Components!$K183,0,-Components!X183*((1+InflationRate)^Components!$K183),0),V369)</f>
        <v>#REF!</v>
      </c>
      <c r="X369" s="11" t="e">
        <f>IF(Components!Y183&gt;0,PPMT(EarningsRate,1,Components!$K183,0,-Components!Y183*((1+InflationRate)^Components!$K183),0),W369)</f>
        <v>#REF!</v>
      </c>
      <c r="Y369" s="11" t="e">
        <f>IF(Components!Z183&gt;0,PPMT(EarningsRate,1,Components!$K183,0,-Components!Z183*((1+InflationRate)^Components!$K183),0),X369)</f>
        <v>#REF!</v>
      </c>
      <c r="Z369" s="11" t="e">
        <f>IF(Components!AA183&gt;0,PPMT(EarningsRate,1,Components!$K183,0,-Components!AA183*((1+InflationRate)^Components!$K183),0),Y369)</f>
        <v>#REF!</v>
      </c>
      <c r="AA369" s="11" t="e">
        <f>IF(Components!AB183&gt;0,PPMT(EarningsRate,1,Components!$K183,0,-Components!AB183*((1+InflationRate)^Components!$K183),0),Z369)</f>
        <v>#REF!</v>
      </c>
      <c r="AB369" s="11" t="e">
        <f>IF(Components!AC183&gt;0,PPMT(EarningsRate,1,Components!$K183,0,-Components!AC183*((1+InflationRate)^Components!$K183),0),AA369)</f>
        <v>#REF!</v>
      </c>
      <c r="AC369" s="11" t="e">
        <f>IF(Components!AD183&gt;0,PPMT(EarningsRate,1,Components!$K183,0,-Components!AD183*((1+InflationRate)^Components!$K183),0),AB369)</f>
        <v>#REF!</v>
      </c>
      <c r="AD369" s="11" t="e">
        <f>IF(Components!AE183&gt;0,PPMT(EarningsRate,1,Components!$K183,0,-Components!AE183*((1+InflationRate)^Components!$K183),0),AC369)</f>
        <v>#REF!</v>
      </c>
      <c r="AE369" s="11">
        <f>IF(Components!AF183&gt;0,PPMT(EarningsRate,1,Components!$K183,0,-Components!AF183*((1+InflationRate)^Components!$K183),0),AD369)</f>
        <v>8696.6258957054124</v>
      </c>
      <c r="AF369" s="11">
        <f>IF(Components!AG183&gt;0,PPMT(EarningsRate,1,Components!$K183,0,-Components!AG183*((1+InflationRate)^Components!$K183),0),AE369)</f>
        <v>8696.6258957054124</v>
      </c>
      <c r="AG369" s="11">
        <f>IF(Components!AH183&gt;0,PPMT(EarningsRate,1,Components!$K183,0,-Components!AH183*((1+InflationRate)^Components!$K183),0),AF369)</f>
        <v>8696.6258957054124</v>
      </c>
      <c r="AH369" s="11">
        <f>IF(Components!AI183&gt;0,PPMT(EarningsRate,1,Components!$K183,0,-Components!AI183*((1+InflationRate)^Components!$K183),0),AG369)</f>
        <v>8696.6258957054124</v>
      </c>
      <c r="AI369" s="11">
        <f>IF(Components!AJ183&gt;0,PPMT(EarningsRate,1,Components!$K183,0,-Components!AJ183*((1+InflationRate)^Components!$K183),0),AH369)</f>
        <v>8696.6258957054124</v>
      </c>
      <c r="AJ369" s="11">
        <f>IF(Components!AK183&gt;0,PPMT(EarningsRate,1,Components!$K183,0,-Components!AK183*((1+InflationRate)^Components!$K183),0),AI369)</f>
        <v>8696.6258957054124</v>
      </c>
      <c r="AK369" s="11">
        <f>IF(Components!AL183&gt;0,PPMT(EarningsRate,1,Components!$K183,0,-Components!AL183*((1+InflationRate)^Components!$K183),0),AJ369)</f>
        <v>8696.6258957054124</v>
      </c>
      <c r="AL369" s="11">
        <f>IF(Components!AM183&gt;0,PPMT(EarningsRate,1,Components!$K183,0,-Components!AM183*((1+InflationRate)^Components!$K183),0),AK369)</f>
        <v>8696.6258957054124</v>
      </c>
      <c r="AM369" s="11">
        <f>IF(Components!AN183&gt;0,PPMT(EarningsRate,1,Components!$K183,0,-Components!AN183*((1+InflationRate)^Components!$K183),0),AL369)</f>
        <v>8696.6258957054124</v>
      </c>
      <c r="AN369" s="11">
        <f>IF(Components!AO183&gt;0,PPMT(EarningsRate,1,Components!$K183,0,-Components!AO183*((1+InflationRate)^Components!$K183),0),AM369)</f>
        <v>8696.6258957054124</v>
      </c>
      <c r="AO369" s="11">
        <f>IF(Components!AP183&gt;0,PPMT(EarningsRate,1,Components!$K183,0,-Components!AP183*((1+InflationRate)^Components!$K183),0),AN369)</f>
        <v>8696.6258957054124</v>
      </c>
      <c r="AP369" s="53"/>
      <c r="AQ369" s="11" t="e">
        <f t="shared" si="10"/>
        <v>#REF!</v>
      </c>
    </row>
    <row r="370" spans="1:43" s="1" customFormat="1">
      <c r="A370" s="115" t="str">
        <f>Components!B184</f>
        <v>Maintenance Bldg</v>
      </c>
      <c r="B370" s="115" t="str">
        <f>Components!C184</f>
        <v xml:space="preserve">Siding, Shop, vinyl </v>
      </c>
      <c r="F370" s="88"/>
      <c r="G370" s="3"/>
      <c r="H370" s="3"/>
      <c r="I370" s="3"/>
      <c r="K370" s="11" t="e">
        <f>IF('FF Balance'!#REF!&gt;=0,PPMT(EarningsRate,1,Components!K184,0,-'FF Balance'!#REF!,0),0)</f>
        <v>#REF!</v>
      </c>
      <c r="L370" s="11" t="e">
        <f>IF(Components!M184&gt;0,PPMT(EarningsRate,1,Components!$K184,0,-Components!M184*((1+InflationRate)^Components!$K184),0),K370)</f>
        <v>#REF!</v>
      </c>
      <c r="M370" s="11">
        <f>IF(Components!N184&gt;0,PPMT(EarningsRate,1,Components!$K184,0,-Components!N184*((1+InflationRate)^Components!$K184),0),L370)</f>
        <v>2233.470278101141</v>
      </c>
      <c r="N370" s="11">
        <f>IF(Components!O184&gt;0,PPMT(EarningsRate,1,Components!$K184,0,-Components!O184*((1+InflationRate)^Components!$K184),0),M370)</f>
        <v>2233.470278101141</v>
      </c>
      <c r="O370" s="11">
        <f>IF(Components!P184&gt;0,PPMT(EarningsRate,1,Components!$K184,0,-Components!P184*((1+InflationRate)^Components!$K184),0),N370)</f>
        <v>2233.470278101141</v>
      </c>
      <c r="P370" s="11">
        <f>IF(Components!Q184&gt;0,PPMT(EarningsRate,1,Components!$K184,0,-Components!Q184*((1+InflationRate)^Components!$K184),0),O370)</f>
        <v>2233.470278101141</v>
      </c>
      <c r="Q370" s="11">
        <f>IF(Components!R184&gt;0,PPMT(EarningsRate,1,Components!$K184,0,-Components!R184*((1+InflationRate)^Components!$K184),0),P370)</f>
        <v>2233.470278101141</v>
      </c>
      <c r="R370" s="11">
        <f>IF(Components!S184&gt;0,PPMT(EarningsRate,1,Components!$K184,0,-Components!S184*((1+InflationRate)^Components!$K184),0),Q370)</f>
        <v>2233.470278101141</v>
      </c>
      <c r="S370" s="11">
        <f>IF(Components!T184&gt;0,PPMT(EarningsRate,1,Components!$K184,0,-Components!T184*((1+InflationRate)^Components!$K184),0),R370)</f>
        <v>2233.470278101141</v>
      </c>
      <c r="T370" s="11">
        <f>IF(Components!U184&gt;0,PPMT(EarningsRate,1,Components!$K184,0,-Components!U184*((1+InflationRate)^Components!$K184),0),S370)</f>
        <v>2233.470278101141</v>
      </c>
      <c r="U370" s="11">
        <f>IF(Components!V184&gt;0,PPMT(EarningsRate,1,Components!$K184,0,-Components!V184*((1+InflationRate)^Components!$K184),0),T370)</f>
        <v>2233.470278101141</v>
      </c>
      <c r="V370" s="11">
        <f>IF(Components!W184&gt;0,PPMT(EarningsRate,1,Components!$K184,0,-Components!W184*((1+InflationRate)^Components!$K184),0),U370)</f>
        <v>2233.470278101141</v>
      </c>
      <c r="W370" s="11">
        <f>IF(Components!X184&gt;0,PPMT(EarningsRate,1,Components!$K184,0,-Components!X184*((1+InflationRate)^Components!$K184),0),V370)</f>
        <v>2233.470278101141</v>
      </c>
      <c r="X370" s="11">
        <f>IF(Components!Y184&gt;0,PPMT(EarningsRate,1,Components!$K184,0,-Components!Y184*((1+InflationRate)^Components!$K184),0),W370)</f>
        <v>2233.470278101141</v>
      </c>
      <c r="Y370" s="11">
        <f>IF(Components!Z184&gt;0,PPMT(EarningsRate,1,Components!$K184,0,-Components!Z184*((1+InflationRate)^Components!$K184),0),X370)</f>
        <v>2233.470278101141</v>
      </c>
      <c r="Z370" s="11">
        <f>IF(Components!AA184&gt;0,PPMT(EarningsRate,1,Components!$K184,0,-Components!AA184*((1+InflationRate)^Components!$K184),0),Y370)</f>
        <v>2233.470278101141</v>
      </c>
      <c r="AA370" s="11">
        <f>IF(Components!AB184&gt;0,PPMT(EarningsRate,1,Components!$K184,0,-Components!AB184*((1+InflationRate)^Components!$K184),0),Z370)</f>
        <v>2233.470278101141</v>
      </c>
      <c r="AB370" s="11">
        <f>IF(Components!AC184&gt;0,PPMT(EarningsRate,1,Components!$K184,0,-Components!AC184*((1+InflationRate)^Components!$K184),0),AA370)</f>
        <v>2233.470278101141</v>
      </c>
      <c r="AC370" s="11">
        <f>IF(Components!AD184&gt;0,PPMT(EarningsRate,1,Components!$K184,0,-Components!AD184*((1+InflationRate)^Components!$K184),0),AB370)</f>
        <v>2233.470278101141</v>
      </c>
      <c r="AD370" s="11">
        <f>IF(Components!AE184&gt;0,PPMT(EarningsRate,1,Components!$K184,0,-Components!AE184*((1+InflationRate)^Components!$K184),0),AC370)</f>
        <v>2233.470278101141</v>
      </c>
      <c r="AE370" s="11">
        <f>IF(Components!AF184&gt;0,PPMT(EarningsRate,1,Components!$K184,0,-Components!AF184*((1+InflationRate)^Components!$K184),0),AD370)</f>
        <v>2233.470278101141</v>
      </c>
      <c r="AF370" s="11">
        <f>IF(Components!AG184&gt;0,PPMT(EarningsRate,1,Components!$K184,0,-Components!AG184*((1+InflationRate)^Components!$K184),0),AE370)</f>
        <v>2233.470278101141</v>
      </c>
      <c r="AG370" s="11">
        <f>IF(Components!AH184&gt;0,PPMT(EarningsRate,1,Components!$K184,0,-Components!AH184*((1+InflationRate)^Components!$K184),0),AF370)</f>
        <v>2233.470278101141</v>
      </c>
      <c r="AH370" s="11">
        <f>IF(Components!AI184&gt;0,PPMT(EarningsRate,1,Components!$K184,0,-Components!AI184*((1+InflationRate)^Components!$K184),0),AG370)</f>
        <v>2233.470278101141</v>
      </c>
      <c r="AI370" s="11">
        <f>IF(Components!AJ184&gt;0,PPMT(EarningsRate,1,Components!$K184,0,-Components!AJ184*((1+InflationRate)^Components!$K184),0),AH370)</f>
        <v>2233.470278101141</v>
      </c>
      <c r="AJ370" s="11">
        <f>IF(Components!AK184&gt;0,PPMT(EarningsRate,1,Components!$K184,0,-Components!AK184*((1+InflationRate)^Components!$K184),0),AI370)</f>
        <v>2233.470278101141</v>
      </c>
      <c r="AK370" s="11">
        <f>IF(Components!AL184&gt;0,PPMT(EarningsRate,1,Components!$K184,0,-Components!AL184*((1+InflationRate)^Components!$K184),0),AJ370)</f>
        <v>2233.470278101141</v>
      </c>
      <c r="AL370" s="11">
        <f>IF(Components!AM184&gt;0,PPMT(EarningsRate,1,Components!$K184,0,-Components!AM184*((1+InflationRate)^Components!$K184),0),AK370)</f>
        <v>2233.470278101141</v>
      </c>
      <c r="AM370" s="11">
        <f>IF(Components!AN184&gt;0,PPMT(EarningsRate,1,Components!$K184,0,-Components!AN184*((1+InflationRate)^Components!$K184),0),AL370)</f>
        <v>2233.470278101141</v>
      </c>
      <c r="AN370" s="11">
        <f>IF(Components!AO184&gt;0,PPMT(EarningsRate,1,Components!$K184,0,-Components!AO184*((1+InflationRate)^Components!$K184),0),AM370)</f>
        <v>2233.470278101141</v>
      </c>
      <c r="AO370" s="11">
        <f>IF(Components!AP184&gt;0,PPMT(EarningsRate,1,Components!$K184,0,-Components!AP184*((1+InflationRate)^Components!$K184),0),AN370)</f>
        <v>2233.470278101141</v>
      </c>
      <c r="AP370" s="53"/>
      <c r="AQ370" s="11" t="e">
        <f t="shared" si="10"/>
        <v>#REF!</v>
      </c>
    </row>
    <row r="371" spans="1:43" s="1" customFormat="1" ht="5" customHeight="1" thickBot="1">
      <c r="A371" s="115"/>
      <c r="B371" s="123"/>
      <c r="F371" s="3"/>
      <c r="G371" s="3"/>
      <c r="H371" s="3"/>
      <c r="I371" s="3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53"/>
      <c r="AQ371" s="11"/>
    </row>
    <row r="372" spans="1:43" s="1" customFormat="1" ht="16" thickBot="1">
      <c r="A372" s="127" t="s">
        <v>161</v>
      </c>
      <c r="B372" s="142"/>
      <c r="F372" s="3"/>
      <c r="G372" s="3"/>
      <c r="H372" s="3"/>
      <c r="I372" s="3"/>
      <c r="K372" s="89" t="e">
        <f t="shared" ref="K372:AO372" si="11">SUM(K2:K371)</f>
        <v>#REF!</v>
      </c>
      <c r="L372" s="89" t="e">
        <f t="shared" si="11"/>
        <v>#REF!</v>
      </c>
      <c r="M372" s="89" t="e">
        <f t="shared" si="11"/>
        <v>#REF!</v>
      </c>
      <c r="N372" s="89" t="e">
        <f t="shared" si="11"/>
        <v>#REF!</v>
      </c>
      <c r="O372" s="89" t="e">
        <f t="shared" si="11"/>
        <v>#REF!</v>
      </c>
      <c r="P372" s="89" t="e">
        <f t="shared" si="11"/>
        <v>#REF!</v>
      </c>
      <c r="Q372" s="89" t="e">
        <f t="shared" si="11"/>
        <v>#REF!</v>
      </c>
      <c r="R372" s="89" t="e">
        <f t="shared" si="11"/>
        <v>#REF!</v>
      </c>
      <c r="S372" s="89" t="e">
        <f t="shared" si="11"/>
        <v>#REF!</v>
      </c>
      <c r="T372" s="89" t="e">
        <f t="shared" si="11"/>
        <v>#REF!</v>
      </c>
      <c r="U372" s="89" t="e">
        <f t="shared" si="11"/>
        <v>#REF!</v>
      </c>
      <c r="V372" s="89" t="e">
        <f t="shared" si="11"/>
        <v>#REF!</v>
      </c>
      <c r="W372" s="89" t="e">
        <f t="shared" si="11"/>
        <v>#REF!</v>
      </c>
      <c r="X372" s="89" t="e">
        <f t="shared" si="11"/>
        <v>#REF!</v>
      </c>
      <c r="Y372" s="89" t="e">
        <f t="shared" si="11"/>
        <v>#REF!</v>
      </c>
      <c r="Z372" s="89" t="e">
        <f t="shared" si="11"/>
        <v>#REF!</v>
      </c>
      <c r="AA372" s="89" t="e">
        <f t="shared" si="11"/>
        <v>#REF!</v>
      </c>
      <c r="AB372" s="89" t="e">
        <f t="shared" si="11"/>
        <v>#REF!</v>
      </c>
      <c r="AC372" s="89" t="e">
        <f t="shared" si="11"/>
        <v>#REF!</v>
      </c>
      <c r="AD372" s="89" t="e">
        <f t="shared" si="11"/>
        <v>#REF!</v>
      </c>
      <c r="AE372" s="89" t="e">
        <f t="shared" si="11"/>
        <v>#REF!</v>
      </c>
      <c r="AF372" s="89" t="e">
        <f t="shared" si="11"/>
        <v>#REF!</v>
      </c>
      <c r="AG372" s="89" t="e">
        <f t="shared" si="11"/>
        <v>#REF!</v>
      </c>
      <c r="AH372" s="89" t="e">
        <f t="shared" si="11"/>
        <v>#REF!</v>
      </c>
      <c r="AI372" s="89" t="e">
        <f t="shared" si="11"/>
        <v>#REF!</v>
      </c>
      <c r="AJ372" s="89" t="e">
        <f t="shared" si="11"/>
        <v>#REF!</v>
      </c>
      <c r="AK372" s="89" t="e">
        <f t="shared" si="11"/>
        <v>#REF!</v>
      </c>
      <c r="AL372" s="89" t="e">
        <f t="shared" si="11"/>
        <v>#REF!</v>
      </c>
      <c r="AM372" s="89" t="e">
        <f t="shared" si="11"/>
        <v>#REF!</v>
      </c>
      <c r="AN372" s="89" t="e">
        <f t="shared" si="11"/>
        <v>#REF!</v>
      </c>
      <c r="AO372" s="89">
        <f t="shared" si="11"/>
        <v>3753171.2550818389</v>
      </c>
      <c r="AP372" s="53"/>
      <c r="AQ372" s="70" t="e">
        <f>ROUND(SUM(AQ2:AQ371),0)+0.001</f>
        <v>#REF!</v>
      </c>
    </row>
    <row r="373" spans="1:43" s="1" customFormat="1">
      <c r="A373" s="115" t="s">
        <v>150</v>
      </c>
      <c r="B373" s="143"/>
      <c r="F373" s="3"/>
      <c r="G373" s="3"/>
      <c r="H373" s="3"/>
      <c r="I373" s="3"/>
      <c r="K373" s="60">
        <f>SUMMARY!C45</f>
        <v>0</v>
      </c>
      <c r="L373" s="60">
        <f>SUMMARY!D45</f>
        <v>0</v>
      </c>
      <c r="M373" s="60">
        <f>SUMMARY!E45</f>
        <v>0</v>
      </c>
      <c r="N373" s="60">
        <f>SUMMARY!F45</f>
        <v>0</v>
      </c>
      <c r="O373" s="60">
        <f>SUMMARY!G45</f>
        <v>0</v>
      </c>
      <c r="P373" s="60">
        <f>SUMMARY!H45</f>
        <v>0</v>
      </c>
      <c r="Q373" s="60">
        <f>SUMMARY!I45</f>
        <v>0</v>
      </c>
      <c r="R373" s="60">
        <f>SUMMARY!J45</f>
        <v>0</v>
      </c>
      <c r="S373" s="60">
        <f>SUMMARY!K45</f>
        <v>0</v>
      </c>
      <c r="T373" s="60">
        <f>SUMMARY!L45</f>
        <v>0</v>
      </c>
      <c r="U373" s="60">
        <f>SUMMARY!M45</f>
        <v>0</v>
      </c>
      <c r="V373" s="60">
        <f>SUMMARY!N45</f>
        <v>0</v>
      </c>
      <c r="W373" s="60">
        <f>SUMMARY!O45</f>
        <v>0</v>
      </c>
      <c r="X373" s="60">
        <f>SUMMARY!P45</f>
        <v>0</v>
      </c>
      <c r="Y373" s="60">
        <f>SUMMARY!Q45</f>
        <v>0</v>
      </c>
      <c r="Z373" s="60">
        <f>SUMMARY!R45</f>
        <v>0</v>
      </c>
      <c r="AA373" s="60">
        <f>SUMMARY!S45</f>
        <v>0</v>
      </c>
      <c r="AB373" s="60">
        <f>SUMMARY!T45</f>
        <v>0</v>
      </c>
      <c r="AC373" s="60">
        <f>SUMMARY!U45</f>
        <v>0</v>
      </c>
      <c r="AD373" s="60">
        <f>SUMMARY!V45</f>
        <v>0</v>
      </c>
      <c r="AE373" s="60">
        <f>SUMMARY!W45</f>
        <v>0</v>
      </c>
      <c r="AF373" s="60">
        <f>SUMMARY!X45</f>
        <v>0</v>
      </c>
      <c r="AG373" s="60">
        <f>SUMMARY!Y45</f>
        <v>0</v>
      </c>
      <c r="AH373" s="60">
        <f>SUMMARY!Z45</f>
        <v>0</v>
      </c>
      <c r="AI373" s="60">
        <f>SUMMARY!AA45</f>
        <v>0</v>
      </c>
      <c r="AJ373" s="60">
        <f>SUMMARY!AB45</f>
        <v>0</v>
      </c>
      <c r="AK373" s="60">
        <f>SUMMARY!AC45</f>
        <v>0</v>
      </c>
      <c r="AL373" s="60">
        <f>SUMMARY!AD45</f>
        <v>0</v>
      </c>
      <c r="AM373" s="60">
        <f>SUMMARY!AE45</f>
        <v>0</v>
      </c>
      <c r="AN373" s="60">
        <f>SUMMARY!AF45</f>
        <v>0</v>
      </c>
      <c r="AO373" s="60">
        <f>SUMMARY!AG45</f>
        <v>0</v>
      </c>
      <c r="AP373" s="53"/>
      <c r="AQ373" s="62">
        <f t="shared" ref="AQ373:AQ375" si="12">SUM(K373:AP373)</f>
        <v>0</v>
      </c>
    </row>
    <row r="374" spans="1:43" s="1" customFormat="1" ht="16" thickBot="1">
      <c r="A374" s="115" t="s">
        <v>158</v>
      </c>
      <c r="B374" s="143"/>
      <c r="F374" s="3"/>
      <c r="G374" s="3"/>
      <c r="H374" s="3"/>
      <c r="I374" s="3"/>
      <c r="K374" s="60">
        <v>0</v>
      </c>
      <c r="L374" s="60">
        <f>SUMMARY!D46</f>
        <v>0</v>
      </c>
      <c r="M374" s="60">
        <f>SUMMARY!E46</f>
        <v>0</v>
      </c>
      <c r="N374" s="60">
        <f>SUMMARY!F46</f>
        <v>0</v>
      </c>
      <c r="O374" s="60">
        <f>SUMMARY!G46</f>
        <v>0</v>
      </c>
      <c r="P374" s="60">
        <f>SUMMARY!H46</f>
        <v>0</v>
      </c>
      <c r="Q374" s="60">
        <f>SUMMARY!I46</f>
        <v>0</v>
      </c>
      <c r="R374" s="60">
        <f>SUMMARY!J46</f>
        <v>0</v>
      </c>
      <c r="S374" s="60">
        <f>SUMMARY!K46</f>
        <v>0</v>
      </c>
      <c r="T374" s="60">
        <f>SUMMARY!L46</f>
        <v>0</v>
      </c>
      <c r="U374" s="60">
        <f>SUMMARY!M46</f>
        <v>0</v>
      </c>
      <c r="V374" s="60">
        <f>SUMMARY!N46</f>
        <v>0</v>
      </c>
      <c r="W374" s="60">
        <f>SUMMARY!O46</f>
        <v>0</v>
      </c>
      <c r="X374" s="60">
        <f>SUMMARY!P46</f>
        <v>0</v>
      </c>
      <c r="Y374" s="60">
        <f>SUMMARY!Q46</f>
        <v>0</v>
      </c>
      <c r="Z374" s="60">
        <f>SUMMARY!R46</f>
        <v>0</v>
      </c>
      <c r="AA374" s="60">
        <f>SUMMARY!S46</f>
        <v>0</v>
      </c>
      <c r="AB374" s="60">
        <f>SUMMARY!T46</f>
        <v>0</v>
      </c>
      <c r="AC374" s="60">
        <f>SUMMARY!U46</f>
        <v>0</v>
      </c>
      <c r="AD374" s="60">
        <f>SUMMARY!V46</f>
        <v>0</v>
      </c>
      <c r="AE374" s="60">
        <f>SUMMARY!W46</f>
        <v>0</v>
      </c>
      <c r="AF374" s="60">
        <f>SUMMARY!X46</f>
        <v>0</v>
      </c>
      <c r="AG374" s="60">
        <f>SUMMARY!Y46</f>
        <v>0</v>
      </c>
      <c r="AH374" s="60">
        <f>SUMMARY!Z46</f>
        <v>0</v>
      </c>
      <c r="AI374" s="60">
        <f>SUMMARY!AA46</f>
        <v>0</v>
      </c>
      <c r="AJ374" s="60">
        <f>SUMMARY!AB46</f>
        <v>0</v>
      </c>
      <c r="AK374" s="60">
        <f>SUMMARY!AC46</f>
        <v>0</v>
      </c>
      <c r="AL374" s="60">
        <f>SUMMARY!AD46</f>
        <v>0</v>
      </c>
      <c r="AM374" s="60">
        <f>SUMMARY!AE46</f>
        <v>0</v>
      </c>
      <c r="AN374" s="60">
        <f>SUMMARY!AF46</f>
        <v>0</v>
      </c>
      <c r="AO374" s="60">
        <f>SUMMARY!AG46</f>
        <v>0</v>
      </c>
      <c r="AP374" s="53"/>
      <c r="AQ374" s="62">
        <f t="shared" si="12"/>
        <v>0</v>
      </c>
    </row>
    <row r="375" spans="1:43" s="1" customFormat="1" ht="17" customHeight="1" thickBot="1">
      <c r="A375" s="127" t="s">
        <v>162</v>
      </c>
      <c r="B375" s="142"/>
      <c r="F375" s="3"/>
      <c r="G375" s="3"/>
      <c r="H375" s="3"/>
      <c r="I375" s="3"/>
      <c r="K375" s="89" t="e">
        <f>SUM(K372:K374)</f>
        <v>#REF!</v>
      </c>
      <c r="L375" s="89" t="e">
        <f t="shared" ref="L375:AO375" si="13">SUM(L372:L374)</f>
        <v>#REF!</v>
      </c>
      <c r="M375" s="89" t="e">
        <f t="shared" si="13"/>
        <v>#REF!</v>
      </c>
      <c r="N375" s="89" t="e">
        <f t="shared" si="13"/>
        <v>#REF!</v>
      </c>
      <c r="O375" s="89" t="e">
        <f t="shared" si="13"/>
        <v>#REF!</v>
      </c>
      <c r="P375" s="89" t="e">
        <f t="shared" si="13"/>
        <v>#REF!</v>
      </c>
      <c r="Q375" s="89" t="e">
        <f t="shared" si="13"/>
        <v>#REF!</v>
      </c>
      <c r="R375" s="89" t="e">
        <f t="shared" si="13"/>
        <v>#REF!</v>
      </c>
      <c r="S375" s="89" t="e">
        <f t="shared" si="13"/>
        <v>#REF!</v>
      </c>
      <c r="T375" s="89" t="e">
        <f t="shared" si="13"/>
        <v>#REF!</v>
      </c>
      <c r="U375" s="89" t="e">
        <f t="shared" si="13"/>
        <v>#REF!</v>
      </c>
      <c r="V375" s="89" t="e">
        <f t="shared" si="13"/>
        <v>#REF!</v>
      </c>
      <c r="W375" s="89" t="e">
        <f t="shared" si="13"/>
        <v>#REF!</v>
      </c>
      <c r="X375" s="89" t="e">
        <f t="shared" si="13"/>
        <v>#REF!</v>
      </c>
      <c r="Y375" s="89" t="e">
        <f t="shared" si="13"/>
        <v>#REF!</v>
      </c>
      <c r="Z375" s="89" t="e">
        <f t="shared" si="13"/>
        <v>#REF!</v>
      </c>
      <c r="AA375" s="89" t="e">
        <f t="shared" si="13"/>
        <v>#REF!</v>
      </c>
      <c r="AB375" s="89" t="e">
        <f t="shared" si="13"/>
        <v>#REF!</v>
      </c>
      <c r="AC375" s="89" t="e">
        <f t="shared" si="13"/>
        <v>#REF!</v>
      </c>
      <c r="AD375" s="89" t="e">
        <f t="shared" si="13"/>
        <v>#REF!</v>
      </c>
      <c r="AE375" s="89" t="e">
        <f t="shared" si="13"/>
        <v>#REF!</v>
      </c>
      <c r="AF375" s="89" t="e">
        <f t="shared" si="13"/>
        <v>#REF!</v>
      </c>
      <c r="AG375" s="89" t="e">
        <f t="shared" si="13"/>
        <v>#REF!</v>
      </c>
      <c r="AH375" s="89" t="e">
        <f t="shared" si="13"/>
        <v>#REF!</v>
      </c>
      <c r="AI375" s="89" t="e">
        <f t="shared" si="13"/>
        <v>#REF!</v>
      </c>
      <c r="AJ375" s="89" t="e">
        <f t="shared" si="13"/>
        <v>#REF!</v>
      </c>
      <c r="AK375" s="89" t="e">
        <f t="shared" si="13"/>
        <v>#REF!</v>
      </c>
      <c r="AL375" s="89" t="e">
        <f t="shared" si="13"/>
        <v>#REF!</v>
      </c>
      <c r="AM375" s="89" t="e">
        <f t="shared" si="13"/>
        <v>#REF!</v>
      </c>
      <c r="AN375" s="89" t="e">
        <f t="shared" si="13"/>
        <v>#REF!</v>
      </c>
      <c r="AO375" s="89">
        <f t="shared" si="13"/>
        <v>3753171.2550818389</v>
      </c>
      <c r="AP375" s="53"/>
      <c r="AQ375" s="70" t="e">
        <f t="shared" si="12"/>
        <v>#REF!</v>
      </c>
    </row>
    <row r="376" spans="1:43" s="1" customFormat="1">
      <c r="A376" s="115"/>
      <c r="B376" s="123"/>
      <c r="G376" s="3"/>
      <c r="H376" s="3"/>
      <c r="I376" s="3"/>
      <c r="L376" s="50" t="e">
        <f>'FF Deposit'!L375/'FF Deposit'!K375-1</f>
        <v>#REF!</v>
      </c>
      <c r="M376" s="50" t="e">
        <f>'FF Deposit'!M372/'FF Deposit'!L372-1</f>
        <v>#REF!</v>
      </c>
      <c r="N376" s="50" t="e">
        <f>'FF Deposit'!N372/'FF Deposit'!M372-1</f>
        <v>#REF!</v>
      </c>
      <c r="O376" s="50" t="e">
        <f>'FF Deposit'!O372/'FF Deposit'!N372-1</f>
        <v>#REF!</v>
      </c>
      <c r="P376" s="50" t="e">
        <f>'FF Deposit'!P372/'FF Deposit'!O372-1</f>
        <v>#REF!</v>
      </c>
      <c r="Q376" s="50" t="e">
        <f>'FF Deposit'!Q372/'FF Deposit'!P372-1</f>
        <v>#REF!</v>
      </c>
      <c r="R376" s="50" t="e">
        <f>'FF Deposit'!R372/'FF Deposit'!Q372-1</f>
        <v>#REF!</v>
      </c>
      <c r="S376" s="50" t="e">
        <f>'FF Deposit'!S372/'FF Deposit'!R372-1</f>
        <v>#REF!</v>
      </c>
      <c r="T376" s="50" t="e">
        <f>'FF Deposit'!T372/'FF Deposit'!S372-1</f>
        <v>#REF!</v>
      </c>
      <c r="U376" s="50" t="e">
        <f>'FF Deposit'!U372/'FF Deposit'!T372-1</f>
        <v>#REF!</v>
      </c>
      <c r="V376" s="50" t="e">
        <f>'FF Deposit'!V372/'FF Deposit'!U372-1</f>
        <v>#REF!</v>
      </c>
      <c r="W376" s="50" t="e">
        <f>'FF Deposit'!W372/'FF Deposit'!V372-1</f>
        <v>#REF!</v>
      </c>
      <c r="X376" s="50" t="e">
        <f>'FF Deposit'!X372/'FF Deposit'!W372-1</f>
        <v>#REF!</v>
      </c>
      <c r="Y376" s="50" t="e">
        <f>'FF Deposit'!Y372/'FF Deposit'!X372-1</f>
        <v>#REF!</v>
      </c>
      <c r="Z376" s="50" t="e">
        <f>'FF Deposit'!Z372/'FF Deposit'!Y372-1</f>
        <v>#REF!</v>
      </c>
      <c r="AA376" s="50" t="e">
        <f>'FF Deposit'!AA372/'FF Deposit'!Z372-1</f>
        <v>#REF!</v>
      </c>
      <c r="AB376" s="50" t="e">
        <f>'FF Deposit'!AB372/'FF Deposit'!AA372-1</f>
        <v>#REF!</v>
      </c>
      <c r="AC376" s="50" t="e">
        <f>'FF Deposit'!AC372/'FF Deposit'!AB372-1</f>
        <v>#REF!</v>
      </c>
      <c r="AD376" s="50" t="e">
        <f>'FF Deposit'!AD372/'FF Deposit'!AC372-1</f>
        <v>#REF!</v>
      </c>
      <c r="AE376" s="50" t="e">
        <f>'FF Deposit'!AE372/'FF Deposit'!AD372-1</f>
        <v>#REF!</v>
      </c>
      <c r="AF376" s="50" t="e">
        <f>'FF Deposit'!AF372/'FF Deposit'!AE372-1</f>
        <v>#REF!</v>
      </c>
      <c r="AG376" s="50" t="e">
        <f>'FF Deposit'!AG372/'FF Deposit'!AF372-1</f>
        <v>#REF!</v>
      </c>
      <c r="AH376" s="50" t="e">
        <f>'FF Deposit'!AH372/'FF Deposit'!AG372-1</f>
        <v>#REF!</v>
      </c>
      <c r="AI376" s="50" t="e">
        <f>'FF Deposit'!AI372/'FF Deposit'!AH372-1</f>
        <v>#REF!</v>
      </c>
      <c r="AJ376" s="50" t="e">
        <f>'FF Deposit'!AJ372/'FF Deposit'!AI372-1</f>
        <v>#REF!</v>
      </c>
      <c r="AK376" s="50" t="e">
        <f>'FF Deposit'!AK372/'FF Deposit'!AJ372-1</f>
        <v>#REF!</v>
      </c>
      <c r="AL376" s="50" t="e">
        <f>'FF Deposit'!AL372/'FF Deposit'!AK372-1</f>
        <v>#REF!</v>
      </c>
      <c r="AM376" s="50" t="e">
        <f>'FF Deposit'!AM372/'FF Deposit'!AL372-1</f>
        <v>#REF!</v>
      </c>
      <c r="AN376" s="50" t="e">
        <f>'FF Deposit'!AN372/'FF Deposit'!AM372-1</f>
        <v>#REF!</v>
      </c>
      <c r="AO376" s="50" t="e">
        <f>'FF Deposit'!AO372/'FF Deposit'!AN372-1</f>
        <v>#REF!</v>
      </c>
      <c r="AP376" s="53"/>
    </row>
    <row r="377" spans="1:43">
      <c r="A377" s="118" t="s">
        <v>163</v>
      </c>
      <c r="K377" s="91" t="e">
        <f>K375/12/2426</f>
        <v>#REF!</v>
      </c>
      <c r="L377" s="91" t="e">
        <f t="shared" ref="L377:AO377" si="14">L375/12/2426</f>
        <v>#REF!</v>
      </c>
      <c r="M377" s="91" t="e">
        <f t="shared" si="14"/>
        <v>#REF!</v>
      </c>
      <c r="N377" s="91" t="e">
        <f t="shared" si="14"/>
        <v>#REF!</v>
      </c>
      <c r="O377" s="91" t="e">
        <f t="shared" si="14"/>
        <v>#REF!</v>
      </c>
      <c r="P377" s="91" t="e">
        <f t="shared" si="14"/>
        <v>#REF!</v>
      </c>
      <c r="Q377" s="91" t="e">
        <f t="shared" si="14"/>
        <v>#REF!</v>
      </c>
      <c r="R377" s="91" t="e">
        <f t="shared" si="14"/>
        <v>#REF!</v>
      </c>
      <c r="S377" s="91" t="e">
        <f t="shared" si="14"/>
        <v>#REF!</v>
      </c>
      <c r="T377" s="91" t="e">
        <f t="shared" si="14"/>
        <v>#REF!</v>
      </c>
      <c r="U377" s="91" t="e">
        <f t="shared" si="14"/>
        <v>#REF!</v>
      </c>
      <c r="V377" s="91" t="e">
        <f t="shared" si="14"/>
        <v>#REF!</v>
      </c>
      <c r="W377" s="91" t="e">
        <f t="shared" si="14"/>
        <v>#REF!</v>
      </c>
      <c r="X377" s="91" t="e">
        <f t="shared" si="14"/>
        <v>#REF!</v>
      </c>
      <c r="Y377" s="91" t="e">
        <f t="shared" si="14"/>
        <v>#REF!</v>
      </c>
      <c r="Z377" s="91" t="e">
        <f t="shared" si="14"/>
        <v>#REF!</v>
      </c>
      <c r="AA377" s="91" t="e">
        <f t="shared" si="14"/>
        <v>#REF!</v>
      </c>
      <c r="AB377" s="91" t="e">
        <f t="shared" si="14"/>
        <v>#REF!</v>
      </c>
      <c r="AC377" s="91" t="e">
        <f t="shared" si="14"/>
        <v>#REF!</v>
      </c>
      <c r="AD377" s="91" t="e">
        <f t="shared" si="14"/>
        <v>#REF!</v>
      </c>
      <c r="AE377" s="91" t="e">
        <f t="shared" si="14"/>
        <v>#REF!</v>
      </c>
      <c r="AF377" s="91" t="e">
        <f t="shared" si="14"/>
        <v>#REF!</v>
      </c>
      <c r="AG377" s="91" t="e">
        <f t="shared" si="14"/>
        <v>#REF!</v>
      </c>
      <c r="AH377" s="91" t="e">
        <f t="shared" si="14"/>
        <v>#REF!</v>
      </c>
      <c r="AI377" s="91" t="e">
        <f t="shared" si="14"/>
        <v>#REF!</v>
      </c>
      <c r="AJ377" s="91" t="e">
        <f t="shared" si="14"/>
        <v>#REF!</v>
      </c>
      <c r="AK377" s="91" t="e">
        <f t="shared" si="14"/>
        <v>#REF!</v>
      </c>
      <c r="AL377" s="91" t="e">
        <f t="shared" si="14"/>
        <v>#REF!</v>
      </c>
      <c r="AM377" s="91" t="e">
        <f t="shared" si="14"/>
        <v>#REF!</v>
      </c>
      <c r="AN377" s="91" t="e">
        <f t="shared" si="14"/>
        <v>#REF!</v>
      </c>
      <c r="AO377" s="91">
        <f t="shared" si="14"/>
        <v>128.92179359308321</v>
      </c>
    </row>
    <row r="378" spans="1:43">
      <c r="A378" s="115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</row>
    <row r="379" spans="1:43">
      <c r="A379" s="118" t="s">
        <v>164</v>
      </c>
      <c r="K379" s="92" t="e">
        <f>SUM(K377:K378)</f>
        <v>#REF!</v>
      </c>
      <c r="L379" s="92" t="e">
        <f t="shared" ref="L379:Q379" si="15">SUM(L377:L378)</f>
        <v>#REF!</v>
      </c>
      <c r="M379" s="92" t="e">
        <f t="shared" si="15"/>
        <v>#REF!</v>
      </c>
      <c r="N379" s="92" t="e">
        <f t="shared" si="15"/>
        <v>#REF!</v>
      </c>
      <c r="O379" s="92" t="e">
        <f t="shared" si="15"/>
        <v>#REF!</v>
      </c>
      <c r="P379" s="92" t="e">
        <f t="shared" si="15"/>
        <v>#REF!</v>
      </c>
      <c r="Q379" s="92" t="e">
        <f t="shared" si="15"/>
        <v>#REF!</v>
      </c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</row>
    <row r="380" spans="1:43">
      <c r="A380" s="118" t="s">
        <v>165</v>
      </c>
      <c r="K380" s="91">
        <f>260441/12/2426</f>
        <v>8.9461733992855184</v>
      </c>
      <c r="L380" s="91">
        <f>236477/12/2426</f>
        <v>8.1230076944215455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6"/>
  <sheetViews>
    <sheetView showGridLines="0" workbookViewId="0">
      <pane xSplit="2" ySplit="1" topLeftCell="C2" activePane="bottomRight" state="frozenSplit"/>
      <selection activeCell="B3" sqref="B3"/>
      <selection pane="topRight" activeCell="B3" sqref="B3"/>
      <selection pane="bottomLeft" activeCell="B3" sqref="B3"/>
      <selection pane="bottomRight" activeCell="B206" sqref="B206"/>
    </sheetView>
  </sheetViews>
  <sheetFormatPr baseColWidth="10" defaultColWidth="10.83203125" defaultRowHeight="15" x14ac:dyDescent="0"/>
  <cols>
    <col min="1" max="1" width="40.6640625" style="145" bestFit="1" customWidth="1"/>
    <col min="2" max="2" width="52.6640625" style="145" bestFit="1" customWidth="1"/>
    <col min="3" max="4" width="2.83203125" style="90" customWidth="1"/>
    <col min="5" max="6" width="6.5" style="96" bestFit="1" customWidth="1"/>
    <col min="7" max="7" width="16.6640625" style="90" bestFit="1" customWidth="1"/>
    <col min="8" max="8" width="9.5" style="90" bestFit="1" customWidth="1"/>
    <col min="9" max="10" width="1.83203125" style="90" customWidth="1"/>
    <col min="11" max="33" width="15" style="90" bestFit="1" customWidth="1"/>
    <col min="34" max="34" width="16.5" style="90" bestFit="1" customWidth="1"/>
    <col min="35" max="40" width="15" style="90" bestFit="1" customWidth="1"/>
    <col min="41" max="41" width="16.5" style="90" bestFit="1" customWidth="1"/>
    <col min="42" max="16384" width="10.83203125" style="90"/>
  </cols>
  <sheetData>
    <row r="1" spans="1:43" s="1" customFormat="1" ht="35" customHeight="1" thickBot="1">
      <c r="A1" s="110" t="s">
        <v>145</v>
      </c>
      <c r="B1" s="110" t="s">
        <v>146</v>
      </c>
      <c r="C1" s="93"/>
      <c r="D1" s="93"/>
      <c r="E1" s="84" t="s">
        <v>74</v>
      </c>
      <c r="F1" s="84" t="s">
        <v>166</v>
      </c>
      <c r="G1" s="13" t="s">
        <v>167</v>
      </c>
      <c r="H1" s="84" t="s">
        <v>84</v>
      </c>
      <c r="I1" s="84"/>
      <c r="K1" s="13" t="str">
        <f>" "&amp;AnalysisYear-1&amp;" End Balance"</f>
        <v xml:space="preserve"> 2019 End Balance</v>
      </c>
      <c r="L1" s="13">
        <f>Components!M1</f>
        <v>2020</v>
      </c>
      <c r="M1" s="13">
        <f>Components!N1</f>
        <v>2021</v>
      </c>
      <c r="N1" s="13">
        <f>Components!O1</f>
        <v>2022</v>
      </c>
      <c r="O1" s="13">
        <f>Components!P1</f>
        <v>2023</v>
      </c>
      <c r="P1" s="13">
        <f>Components!Q1</f>
        <v>2024</v>
      </c>
      <c r="Q1" s="13">
        <f>Components!R1</f>
        <v>2025</v>
      </c>
      <c r="R1" s="13">
        <f>Components!S1</f>
        <v>2026</v>
      </c>
      <c r="S1" s="13">
        <f>Components!T1</f>
        <v>2027</v>
      </c>
      <c r="T1" s="13">
        <f>Components!U1</f>
        <v>2028</v>
      </c>
      <c r="U1" s="13">
        <f>Components!V1</f>
        <v>2029</v>
      </c>
      <c r="V1" s="13">
        <f>Components!W1</f>
        <v>2030</v>
      </c>
      <c r="W1" s="13">
        <f>Components!X1</f>
        <v>2031</v>
      </c>
      <c r="X1" s="13">
        <f>Components!Y1</f>
        <v>2032</v>
      </c>
      <c r="Y1" s="13">
        <f>Components!Z1</f>
        <v>2033</v>
      </c>
      <c r="Z1" s="13">
        <f>Components!AA1</f>
        <v>2034</v>
      </c>
      <c r="AA1" s="13">
        <f>Components!AB1</f>
        <v>2035</v>
      </c>
      <c r="AB1" s="13">
        <f>Components!AC1</f>
        <v>2036</v>
      </c>
      <c r="AC1" s="13">
        <f>Components!AD1</f>
        <v>2037</v>
      </c>
      <c r="AD1" s="13">
        <f>Components!AE1</f>
        <v>2038</v>
      </c>
      <c r="AE1" s="13">
        <f>Components!AF1</f>
        <v>2039</v>
      </c>
      <c r="AF1" s="13">
        <f>Components!AG1</f>
        <v>2040</v>
      </c>
      <c r="AG1" s="13">
        <f>Components!AH1</f>
        <v>2041</v>
      </c>
      <c r="AH1" s="13">
        <f>Components!AI1</f>
        <v>2042</v>
      </c>
      <c r="AI1" s="13">
        <f>Components!AJ1</f>
        <v>2043</v>
      </c>
      <c r="AJ1" s="13">
        <f>Components!AK1</f>
        <v>2044</v>
      </c>
      <c r="AK1" s="13">
        <f>Components!AL1</f>
        <v>2045</v>
      </c>
      <c r="AL1" s="13">
        <f>Components!AM1</f>
        <v>2046</v>
      </c>
      <c r="AM1" s="13">
        <f>Components!AN1</f>
        <v>2047</v>
      </c>
      <c r="AN1" s="13">
        <f>Components!AO1</f>
        <v>2048</v>
      </c>
      <c r="AO1" s="13">
        <f>Components!AP1</f>
        <v>2049</v>
      </c>
      <c r="AP1" s="53"/>
      <c r="AQ1" s="94"/>
    </row>
    <row r="2" spans="1:43" s="1" customFormat="1" ht="3" customHeight="1">
      <c r="A2" s="115"/>
      <c r="B2" s="116"/>
      <c r="E2" s="3"/>
      <c r="F2" s="3"/>
      <c r="H2" s="31"/>
      <c r="I2" s="3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53"/>
    </row>
    <row r="3" spans="1:43" s="1" customFormat="1">
      <c r="A3" s="115" t="str">
        <f>Components!B3</f>
        <v>Club Exterior</v>
      </c>
      <c r="B3" s="115" t="str">
        <f>Components!C3</f>
        <v xml:space="preserve">Gutter replacement </v>
      </c>
      <c r="E3" s="82">
        <f>AnalysisYear-Components!I3-Components!J3</f>
        <v>8</v>
      </c>
      <c r="F3" s="82">
        <f>IF(H3&lt;0,Components!K3-MOD(AnalysisYear-Components!I3-Components!J3,Components!K3),AnalysisYear-Components!I3-Components!J3)</f>
        <v>8</v>
      </c>
      <c r="G3" s="11">
        <f>ROUND(Components!H3*IF(H3&lt;0,((1+InflationRate)^F3),((1+InflationRate)^H3)),0)</f>
        <v>76658</v>
      </c>
      <c r="H3" s="82">
        <f>IF(E3&gt;=0,Components!K3-E3,E3)</f>
        <v>22</v>
      </c>
      <c r="I3" s="82"/>
      <c r="K3" s="29">
        <f>IF($H3&gt;0,FV(EarningsRate,F3,-'FF Deposit'!L3,1),Components!$H3)</f>
        <v>16021.368684164161</v>
      </c>
      <c r="L3" s="29">
        <f>'FF Deposit'!L3+IF(Components!M3&gt;0,K3-Components!M3,K3*(1+EarningsRate))</f>
        <v>18218.015810465604</v>
      </c>
      <c r="M3" s="29">
        <f>'FF Deposit'!M3+IF(Components!N3&gt;0,L3-Components!N3,L3*(1+EarningsRate))</f>
        <v>20460.79252641938</v>
      </c>
      <c r="N3" s="29">
        <f>'FF Deposit'!N3+IF(Components!O3&gt;0,M3-Components!O3,M3*(1+EarningsRate))</f>
        <v>22750.667553408184</v>
      </c>
      <c r="O3" s="29">
        <f>'FF Deposit'!O3+IF(Components!P3&gt;0,N3-Components!P3,N3*(1+EarningsRate))</f>
        <v>25088.629955963752</v>
      </c>
      <c r="P3" s="29">
        <f>'FF Deposit'!P3+IF(Components!Q3&gt;0,O3-Components!Q3,O3*(1+EarningsRate))</f>
        <v>27475.689568972986</v>
      </c>
      <c r="Q3" s="29">
        <f>'FF Deposit'!Q3+IF(Components!R3&gt;0,P3-Components!R3,P3*(1+EarningsRate))</f>
        <v>29912.877433855414</v>
      </c>
      <c r="R3" s="29">
        <f>'FF Deposit'!R3+IF(Components!S3&gt;0,Q3-Components!S3,Q3*(1+EarningsRate))</f>
        <v>32401.246243900376</v>
      </c>
      <c r="S3" s="29">
        <f>'FF Deposit'!S3+IF(Components!T3&gt;0,R3-Components!T3,R3*(1+EarningsRate))</f>
        <v>34941.870798956275</v>
      </c>
      <c r="T3" s="29">
        <f>'FF Deposit'!T3+IF(Components!U3&gt;0,S3-Components!U3,S3*(1+EarningsRate))</f>
        <v>37535.848469668352</v>
      </c>
      <c r="U3" s="29">
        <f>'FF Deposit'!U3+IF(Components!V3&gt;0,T3-Components!V3,T3*(1+EarningsRate))</f>
        <v>40184.299671465378</v>
      </c>
      <c r="V3" s="29">
        <f>'FF Deposit'!V3+IF(Components!W3&gt;0,U3-Components!W3,U3*(1+EarningsRate))</f>
        <v>42888.368348500146</v>
      </c>
      <c r="W3" s="29">
        <f>'FF Deposit'!W3+IF(Components!X3&gt;0,V3-Components!X3,V3*(1+EarningsRate))</f>
        <v>45649.222467752639</v>
      </c>
      <c r="X3" s="29">
        <f>'FF Deposit'!X3+IF(Components!Y3&gt;0,W3-Components!Y3,W3*(1+EarningsRate))</f>
        <v>48468.054523509432</v>
      </c>
      <c r="Y3" s="29">
        <f>'FF Deposit'!Y3+IF(Components!Z3&gt;0,X3-Components!Z3,X3*(1+EarningsRate))</f>
        <v>51346.082052437123</v>
      </c>
      <c r="Z3" s="29">
        <f>'FF Deposit'!Z3+IF(Components!AA3&gt;0,Y3-Components!AA3,Y3*(1+EarningsRate))</f>
        <v>54284.548159472295</v>
      </c>
      <c r="AA3" s="29">
        <f>'FF Deposit'!AA3+IF(Components!AB3&gt;0,Z3-Components!AB3,Z3*(1+EarningsRate))</f>
        <v>57284.722054755206</v>
      </c>
      <c r="AB3" s="29">
        <f>'FF Deposit'!AB3+IF(Components!AC3&gt;0,AA3-Components!AC3,AA3*(1+EarningsRate))</f>
        <v>60347.899601839054</v>
      </c>
      <c r="AC3" s="29">
        <f>'FF Deposit'!AC3+IF(Components!AD3&gt;0,AB3-Components!AD3,AB3*(1+EarningsRate))</f>
        <v>63475.403877411663</v>
      </c>
      <c r="AD3" s="29">
        <f>'FF Deposit'!AD3+IF(Components!AE3&gt;0,AC3-Components!AE3,AC3*(1+EarningsRate))</f>
        <v>66668.585742771305</v>
      </c>
      <c r="AE3" s="29">
        <f>'FF Deposit'!AE3+IF(Components!AF3&gt;0,AD3-Components!AF3,AD3*(1+EarningsRate))</f>
        <v>69928.824427303494</v>
      </c>
      <c r="AF3" s="29">
        <f>'FF Deposit'!AF3+IF(Components!AG3&gt;0,AE3-Components!AG3,AE3*(1+EarningsRate))</f>
        <v>73257.528124210861</v>
      </c>
      <c r="AG3" s="29">
        <f>'FF Deposit'!AG3+IF(Components!AH3&gt;0,AF3-Components!AH3,AF3*(1+EarningsRate))</f>
        <v>76656.134598753284</v>
      </c>
      <c r="AH3" s="29">
        <f>'FF Deposit'!AH3+IF(Components!AI3&gt;0,AG3-Components!AI3,AG3*(1+EarningsRate))</f>
        <v>5219.3277122772315</v>
      </c>
      <c r="AI3" s="29">
        <f>'FF Deposit'!AI3+IF(Components!AJ3&gt;0,AH3-Components!AJ3,AH3*(1+EarningsRate))</f>
        <v>10550.126707759</v>
      </c>
      <c r="AJ3" s="29">
        <f>'FF Deposit'!AJ3+IF(Components!AK3&gt;0,AI3-Components!AK3,AI3*(1+EarningsRate))</f>
        <v>15992.872482145885</v>
      </c>
      <c r="AK3" s="29">
        <f>'FF Deposit'!AK3+IF(Components!AL3&gt;0,AJ3-Components!AL3,AJ3*(1+EarningsRate))</f>
        <v>21549.915917794893</v>
      </c>
      <c r="AL3" s="29">
        <f>'FF Deposit'!AL3+IF(Components!AM3&gt;0,AK3-Components!AM3,AK3*(1+EarningsRate))</f>
        <v>27223.65726559253</v>
      </c>
      <c r="AM3" s="29">
        <f>'FF Deposit'!AM3+IF(Components!AN3&gt;0,AL3-Components!AN3,AL3*(1+EarningsRate))</f>
        <v>33016.547181693917</v>
      </c>
      <c r="AN3" s="29">
        <f>'FF Deposit'!AN3+IF(Components!AO3&gt;0,AM3-Components!AO3,AM3*(1+EarningsRate))</f>
        <v>38931.087786033437</v>
      </c>
      <c r="AO3" s="29">
        <f>'FF Deposit'!AO3+IF(Components!AP3&gt;0,AN3-Components!AP3,AN3*(1+EarningsRate))</f>
        <v>44969.833743064082</v>
      </c>
      <c r="AP3" s="53"/>
    </row>
    <row r="4" spans="1:43" s="1" customFormat="1">
      <c r="A4" s="220" t="str">
        <f>Components!B4</f>
        <v>Club Exterior</v>
      </c>
      <c r="B4" s="220" t="str">
        <f>Components!C4</f>
        <v>Paint Clubhouse</v>
      </c>
      <c r="C4" s="211"/>
      <c r="D4" s="211"/>
      <c r="E4" s="82">
        <f>AnalysisYear-Components!I4-Components!J4</f>
        <v>8</v>
      </c>
      <c r="F4" s="82">
        <f>IF(H4&lt;0,Components!K4-MOD(AnalysisYear-Components!I4-Components!J4,Components!K4),AnalysisYear-Components!I4-Components!J4)</f>
        <v>8</v>
      </c>
      <c r="G4" s="11">
        <f>ROUND(Components!H4*IF(H4&lt;0,((1+InflationRate)^F4),((1+InflationRate)^H4)),0)</f>
        <v>52672</v>
      </c>
      <c r="H4" s="82">
        <f>IF(E4&gt;=0,Components!K4-E4,E4)</f>
        <v>2</v>
      </c>
      <c r="I4" s="82"/>
      <c r="J4" s="211"/>
      <c r="K4" s="29">
        <f>IF($H4&gt;0,FV(EarningsRate,F4,-'FF Deposit'!L4,1),Components!$H4)</f>
        <v>41243.016187936017</v>
      </c>
      <c r="L4" s="29">
        <f>'FF Deposit'!L4+IF(Components!M4&gt;0,K4-Components!M4,K4*(1+EarningsRate))</f>
        <v>46897.520301669443</v>
      </c>
      <c r="M4" s="29">
        <f>'FF Deposit'!M4+IF(Components!N4&gt;0,L4-Components!N4,L4*(1+EarningsRate))</f>
        <v>52670.769001791268</v>
      </c>
      <c r="N4" s="29">
        <f>'FF Deposit'!N4+IF(Components!O4&gt;0,M4-Components!O4,M4*(1+EarningsRate))</f>
        <v>6753.2811986521083</v>
      </c>
      <c r="O4" s="29">
        <f>'FF Deposit'!O4+IF(Components!P4&gt;0,N4-Components!P4,N4*(1+EarningsRate))</f>
        <v>13649.612300684643</v>
      </c>
      <c r="P4" s="29">
        <f>'FF Deposit'!P4+IF(Components!Q4&gt;0,O4-Components!Q4,O4*(1+EarningsRate))</f>
        <v>20690.766355859858</v>
      </c>
      <c r="Q4" s="29">
        <f>'FF Deposit'!Q4+IF(Components!R4&gt;0,P4-Components!R4,P4*(1+EarningsRate))</f>
        <v>27879.784646193752</v>
      </c>
      <c r="R4" s="29">
        <f>'FF Deposit'!R4+IF(Components!S4&gt;0,Q4-Components!S4,Q4*(1+EarningsRate))</f>
        <v>35219.772320624659</v>
      </c>
      <c r="S4" s="29">
        <f>'FF Deposit'!S4+IF(Components!T4&gt;0,R4-Components!T4,R4*(1+EarningsRate))</f>
        <v>42713.89973621862</v>
      </c>
      <c r="T4" s="29">
        <f>'FF Deposit'!T4+IF(Components!U4&gt;0,S4-Components!U4,S4*(1+EarningsRate))</f>
        <v>50365.403827540053</v>
      </c>
      <c r="U4" s="29">
        <f>'FF Deposit'!U4+IF(Components!V4&gt;0,T4-Components!V4,T4*(1+EarningsRate))</f>
        <v>58177.589504779229</v>
      </c>
      <c r="V4" s="29">
        <f>'FF Deposit'!V4+IF(Components!W4&gt;0,U4-Components!W4,U4*(1+EarningsRate))</f>
        <v>66153.831081240423</v>
      </c>
      <c r="W4" s="29">
        <f>'FF Deposit'!W4+IF(Components!X4&gt;0,V4-Components!X4,V4*(1+EarningsRate))</f>
        <v>74297.573730807315</v>
      </c>
      <c r="X4" s="29">
        <f>'FF Deposit'!X4+IF(Components!Y4&gt;0,W4-Components!Y4,W4*(1+EarningsRate))</f>
        <v>9525.6010741161008</v>
      </c>
      <c r="Y4" s="29">
        <f>'FF Deposit'!Y4+IF(Components!Z4&gt;0,X4-Components!Z4,X4*(1+EarningsRate))</f>
        <v>19253.666039981326</v>
      </c>
      <c r="Z4" s="29">
        <f>'FF Deposit'!Z4+IF(Components!AA4&gt;0,Y4-Components!AA4,Y4*(1+EarningsRate))</f>
        <v>29186.020370129718</v>
      </c>
      <c r="AA4" s="29">
        <f>'FF Deposit'!AA4+IF(Components!AB4&gt;0,Z4-Components!AB4,Z4*(1+EarningsRate))</f>
        <v>39326.95414121123</v>
      </c>
      <c r="AB4" s="29">
        <f>'FF Deposit'!AB4+IF(Components!AC4&gt;0,AA4-Components!AC4,AA4*(1+EarningsRate))</f>
        <v>49680.847521485448</v>
      </c>
      <c r="AC4" s="29">
        <f>'FF Deposit'!AC4+IF(Components!AD4&gt;0,AB4-Components!AD4,AB4*(1+EarningsRate))</f>
        <v>60252.172662745426</v>
      </c>
      <c r="AD4" s="29">
        <f>'FF Deposit'!AD4+IF(Components!AE4&gt;0,AC4-Components!AE4,AC4*(1+EarningsRate))</f>
        <v>71045.495631971862</v>
      </c>
      <c r="AE4" s="29">
        <f>'FF Deposit'!AE4+IF(Components!AF4&gt;0,AD4-Components!AF4,AD4*(1+EarningsRate))</f>
        <v>82065.47838355205</v>
      </c>
      <c r="AF4" s="29">
        <f>'FF Deposit'!AF4+IF(Components!AG4&gt;0,AE4-Components!AG4,AE4*(1+EarningsRate))</f>
        <v>93316.880772915421</v>
      </c>
      <c r="AG4" s="29">
        <f>'FF Deposit'!AG4+IF(Components!AH4&gt;0,AF4-Components!AH4,AF4*(1+EarningsRate))</f>
        <v>104804.56261245543</v>
      </c>
      <c r="AH4" s="29">
        <f>'FF Deposit'!AH4+IF(Components!AI4&gt;0,AG4-Components!AI4,AG4*(1+EarningsRate))</f>
        <v>13437.723605324392</v>
      </c>
      <c r="AI4" s="29">
        <f>'FF Deposit'!AI4+IF(Components!AJ4&gt;0,AH4-Components!AJ4,AH4*(1+EarningsRate))</f>
        <v>27160.076793905169</v>
      </c>
      <c r="AJ4" s="29">
        <f>'FF Deposit'!AJ4+IF(Components!AK4&gt;0,AI4-Components!AK4,AI4*(1+EarningsRate))</f>
        <v>41170.599399446139</v>
      </c>
      <c r="AK4" s="29">
        <f>'FF Deposit'!AK4+IF(Components!AL4&gt;0,AJ4-Components!AL4,AJ4*(1+EarningsRate))</f>
        <v>55475.34297970347</v>
      </c>
      <c r="AL4" s="29">
        <f>'FF Deposit'!AL4+IF(Components!AM4&gt;0,AK4-Components!AM4,AK4*(1+EarningsRate))</f>
        <v>70080.486175146201</v>
      </c>
      <c r="AM4" s="29">
        <f>'FF Deposit'!AM4+IF(Components!AN4&gt;0,AL4-Components!AN4,AL4*(1+EarningsRate))</f>
        <v>84992.337377693242</v>
      </c>
      <c r="AN4" s="29">
        <f>'FF Deposit'!AN4+IF(Components!AO4&gt;0,AM4-Components!AO4,AM4*(1+EarningsRate))</f>
        <v>100217.33745549376</v>
      </c>
      <c r="AO4" s="29">
        <f>'FF Deposit'!AO4+IF(Components!AP4&gt;0,AN4-Components!AP4,AN4*(1+EarningsRate))</f>
        <v>115762.06253492809</v>
      </c>
      <c r="AP4" s="53"/>
    </row>
    <row r="5" spans="1:43" s="1" customFormat="1">
      <c r="A5" s="220" t="str">
        <f>Components!B5</f>
        <v>Club Exterior</v>
      </c>
      <c r="B5" s="220" t="str">
        <f>Components!C5</f>
        <v>Roof, Club, shingles</v>
      </c>
      <c r="C5" s="211"/>
      <c r="D5" s="211"/>
      <c r="E5" s="82">
        <f>AnalysisYear-Components!I5-Components!J5</f>
        <v>8</v>
      </c>
      <c r="F5" s="82">
        <f>IF(H5&lt;0,Components!K5-MOD(AnalysisYear-Components!I5-Components!J5,Components!K5),AnalysisYear-Components!I5-Components!J5)</f>
        <v>8</v>
      </c>
      <c r="G5" s="11">
        <f>ROUND(Components!H5*IF(H5&lt;0,((1+InflationRate)^F5),((1+InflationRate)^H5)),0)</f>
        <v>419793</v>
      </c>
      <c r="H5" s="82">
        <f>IF(E5&gt;=0,Components!K5-E5,E5)</f>
        <v>17</v>
      </c>
      <c r="I5" s="82"/>
      <c r="J5" s="211"/>
      <c r="K5" s="29">
        <f>IF($H5&gt;0,FV(EarningsRate,F5,-'FF Deposit'!L5,1),Components!$H5)</f>
        <v>111452.02309521417</v>
      </c>
      <c r="L5" s="29">
        <f>'FF Deposit'!L5+IF(Components!M5&gt;0,K5-Components!M5,K5*(1+EarningsRate))</f>
        <v>126732.09608103202</v>
      </c>
      <c r="M5" s="29">
        <f>'FF Deposit'!M5+IF(Components!N5&gt;0,L5-Components!N5,L5*(1+EarningsRate))</f>
        <v>142333.05059955205</v>
      </c>
      <c r="N5" s="29">
        <f>'FF Deposit'!N5+IF(Components!O5&gt;0,M5-Components!O5,M5*(1+EarningsRate))</f>
        <v>158261.62516296099</v>
      </c>
      <c r="O5" s="29">
        <f>'FF Deposit'!O5+IF(Components!P5&gt;0,N5-Components!P5,N5*(1+EarningsRate))</f>
        <v>174524.69979220151</v>
      </c>
      <c r="P5" s="29">
        <f>'FF Deposit'!P5+IF(Components!Q5&gt;0,O5-Components!Q5,O5*(1+EarningsRate))</f>
        <v>191129.29898865608</v>
      </c>
      <c r="Q5" s="29">
        <f>'FF Deposit'!Q5+IF(Components!R5&gt;0,P5-Components!R5,P5*(1+EarningsRate))</f>
        <v>208082.59476823619</v>
      </c>
      <c r="R5" s="29">
        <f>'FF Deposit'!R5+IF(Components!S5&gt;0,Q5-Components!S5,Q5*(1+EarningsRate))</f>
        <v>225391.90975918749</v>
      </c>
      <c r="S5" s="29">
        <f>'FF Deposit'!S5+IF(Components!T5&gt;0,R5-Components!T5,R5*(1+EarningsRate))</f>
        <v>243064.72036494876</v>
      </c>
      <c r="T5" s="29">
        <f>'FF Deposit'!T5+IF(Components!U5&gt;0,S5-Components!U5,S5*(1+EarningsRate))</f>
        <v>261108.65999343101</v>
      </c>
      <c r="U5" s="29">
        <f>'FF Deposit'!U5+IF(Components!V5&gt;0,T5-Components!V5,T5*(1+EarningsRate))</f>
        <v>279531.52235411142</v>
      </c>
      <c r="V5" s="29">
        <f>'FF Deposit'!V5+IF(Components!W5&gt;0,U5-Components!W5,U5*(1+EarningsRate))</f>
        <v>298341.26482436614</v>
      </c>
      <c r="W5" s="29">
        <f>'FF Deposit'!W5+IF(Components!X5&gt;0,V5-Components!X5,V5*(1+EarningsRate))</f>
        <v>317546.01188649616</v>
      </c>
      <c r="X5" s="29">
        <f>'FF Deposit'!X5+IF(Components!Y5&gt;0,W5-Components!Y5,W5*(1+EarningsRate))</f>
        <v>337154.05863693095</v>
      </c>
      <c r="Y5" s="29">
        <f>'FF Deposit'!Y5+IF(Components!Z5&gt;0,X5-Components!Z5,X5*(1+EarningsRate))</f>
        <v>357173.87436912482</v>
      </c>
      <c r="Z5" s="29">
        <f>'FF Deposit'!Z5+IF(Components!AA5&gt;0,Y5-Components!AA5,Y5*(1+EarningsRate))</f>
        <v>377614.10623169481</v>
      </c>
      <c r="AA5" s="29">
        <f>'FF Deposit'!AA5+IF(Components!AB5&gt;0,Z5-Components!AB5,Z5*(1+EarningsRate))</f>
        <v>398483.58296337875</v>
      </c>
      <c r="AB5" s="29">
        <f>'FF Deposit'!AB5+IF(Components!AC5&gt;0,AA5-Components!AC5,AA5*(1+EarningsRate))</f>
        <v>419791.31870642805</v>
      </c>
      <c r="AC5" s="29">
        <f>'FF Deposit'!AC5+IF(Components!AD5&gt;0,AB5-Components!AD5,AB5*(1+EarningsRate))</f>
        <v>30577.717423506645</v>
      </c>
      <c r="AD5" s="29">
        <f>'FF Deposit'!AD5+IF(Components!AE5&gt;0,AC5-Components!AE5,AC5*(1+EarningsRate))</f>
        <v>61799.248206478878</v>
      </c>
      <c r="AE5" s="29">
        <f>'FF Deposit'!AE5+IF(Components!AF5&gt;0,AD5-Components!AF5,AD5*(1+EarningsRate))</f>
        <v>93676.431135893523</v>
      </c>
      <c r="AF5" s="29">
        <f>'FF Deposit'!AF5+IF(Components!AG5&gt;0,AE5-Components!AG5,AE5*(1+EarningsRate))</f>
        <v>126223.03490682588</v>
      </c>
      <c r="AG5" s="29">
        <f>'FF Deposit'!AG5+IF(Components!AH5&gt;0,AF5-Components!AH5,AF5*(1+EarningsRate))</f>
        <v>159453.1173569478</v>
      </c>
      <c r="AH5" s="29">
        <f>'FF Deposit'!AH5+IF(Components!AI5&gt;0,AG5-Components!AI5,AG5*(1+EarningsRate))</f>
        <v>193381.03153852228</v>
      </c>
      <c r="AI5" s="29">
        <f>'FF Deposit'!AI5+IF(Components!AJ5&gt;0,AH5-Components!AJ5,AH5*(1+EarningsRate))</f>
        <v>228021.43191790982</v>
      </c>
      <c r="AJ5" s="29">
        <f>'FF Deposit'!AJ5+IF(Components!AK5&gt;0,AI5-Components!AK5,AI5*(1+EarningsRate))</f>
        <v>263389.28070526454</v>
      </c>
      <c r="AK5" s="29">
        <f>'FF Deposit'!AK5+IF(Components!AL5&gt;0,AJ5-Components!AL5,AJ5*(1+EarningsRate))</f>
        <v>299499.85431715369</v>
      </c>
      <c r="AL5" s="29">
        <f>'FF Deposit'!AL5+IF(Components!AM5&gt;0,AK5-Components!AM5,AK5*(1+EarningsRate))</f>
        <v>336368.74997489247</v>
      </c>
      <c r="AM5" s="29">
        <f>'FF Deposit'!AM5+IF(Components!AN5&gt;0,AL5-Components!AN5,AL5*(1+EarningsRate))</f>
        <v>374011.89244144381</v>
      </c>
      <c r="AN5" s="29">
        <f>'FF Deposit'!AN5+IF(Components!AO5&gt;0,AM5-Components!AO5,AM5*(1+EarningsRate))</f>
        <v>412445.54089979269</v>
      </c>
      <c r="AO5" s="29">
        <f>'FF Deposit'!AO5+IF(Components!AP5&gt;0,AN5-Components!AP5,AN5*(1+EarningsRate))</f>
        <v>451686.2959757669</v>
      </c>
      <c r="AP5" s="53"/>
    </row>
    <row r="6" spans="1:43" s="1" customFormat="1">
      <c r="A6" s="220" t="str">
        <f>Components!B6</f>
        <v>Club Exterior</v>
      </c>
      <c r="B6" s="220" t="str">
        <f>Components!C6</f>
        <v xml:space="preserve">Roof, Club, TPO        </v>
      </c>
      <c r="C6" s="211"/>
      <c r="D6" s="211"/>
      <c r="E6" s="82">
        <f>AnalysisYear-Components!I6-Components!J6</f>
        <v>8</v>
      </c>
      <c r="F6" s="82">
        <f>IF(H6&lt;0,Components!K6-MOD(AnalysisYear-Components!I6-Components!J6,Components!K6),AnalysisYear-Components!I6-Components!J6)</f>
        <v>8</v>
      </c>
      <c r="G6" s="11">
        <f>ROUND(Components!H6*IF(H6&lt;0,((1+InflationRate)^F6),((1+InflationRate)^H6)),0)</f>
        <v>185749</v>
      </c>
      <c r="H6" s="82">
        <f>IF(E6&gt;=0,Components!K6-E6,E6)</f>
        <v>17</v>
      </c>
      <c r="I6" s="82"/>
      <c r="J6" s="211"/>
      <c r="K6" s="29">
        <f>IF($H6&gt;0,FV(EarningsRate,F6,-'FF Deposit'!L6,1),Components!$H6)</f>
        <v>49314.365556182158</v>
      </c>
      <c r="L6" s="29">
        <f>'FF Deposit'!L6+IF(Components!M6&gt;0,K6-Components!M6,K6*(1+EarningsRate))</f>
        <v>56075.441784477916</v>
      </c>
      <c r="M6" s="29">
        <f>'FF Deposit'!M6+IF(Components!N6&gt;0,L6-Components!N6,L6*(1+EarningsRate))</f>
        <v>62978.500613567885</v>
      </c>
      <c r="N6" s="29">
        <f>'FF Deposit'!N6+IF(Components!O6&gt;0,M6-Components!O6,M6*(1+EarningsRate))</f>
        <v>70026.523678068741</v>
      </c>
      <c r="O6" s="29">
        <f>'FF Deposit'!O6+IF(Components!P6&gt;0,N6-Components!P6,N6*(1+EarningsRate))</f>
        <v>77222.555226924131</v>
      </c>
      <c r="P6" s="29">
        <f>'FF Deposit'!P6+IF(Components!Q6&gt;0,O6-Components!Q6,O6*(1+EarningsRate))</f>
        <v>84569.703438305471</v>
      </c>
      <c r="Q6" s="29">
        <f>'FF Deposit'!Q6+IF(Components!R6&gt;0,P6-Components!R6,P6*(1+EarningsRate))</f>
        <v>92071.14176212583</v>
      </c>
      <c r="R6" s="29">
        <f>'FF Deposit'!R6+IF(Components!S6&gt;0,Q6-Components!S6,Q6*(1+EarningsRate))</f>
        <v>99730.110290746408</v>
      </c>
      <c r="S6" s="29">
        <f>'FF Deposit'!S6+IF(Components!T6&gt;0,R6-Components!T6,R6*(1+EarningsRate))</f>
        <v>107549.91715846802</v>
      </c>
      <c r="T6" s="29">
        <f>'FF Deposit'!T6+IF(Components!U6&gt;0,S6-Components!U6,S6*(1+EarningsRate))</f>
        <v>115533.93997041178</v>
      </c>
      <c r="U6" s="29">
        <f>'FF Deposit'!U6+IF(Components!V6&gt;0,T6-Components!V6,T6*(1+EarningsRate))</f>
        <v>123685.62726140636</v>
      </c>
      <c r="V6" s="29">
        <f>'FF Deposit'!V6+IF(Components!W6&gt;0,U6-Components!W6,U6*(1+EarningsRate))</f>
        <v>132008.49998551182</v>
      </c>
      <c r="W6" s="29">
        <f>'FF Deposit'!W6+IF(Components!X6&gt;0,V6-Components!X6,V6*(1+EarningsRate))</f>
        <v>140506.1530368235</v>
      </c>
      <c r="X6" s="29">
        <f>'FF Deposit'!X6+IF(Components!Y6&gt;0,W6-Components!Y6,W6*(1+EarningsRate))</f>
        <v>149182.25680221271</v>
      </c>
      <c r="Y6" s="29">
        <f>'FF Deposit'!Y6+IF(Components!Z6&gt;0,X6-Components!Z6,X6*(1+EarningsRate))</f>
        <v>158040.55874667512</v>
      </c>
      <c r="Z6" s="29">
        <f>'FF Deposit'!Z6+IF(Components!AA6&gt;0,Y6-Components!AA6,Y6*(1+EarningsRate))</f>
        <v>167084.88503197124</v>
      </c>
      <c r="AA6" s="29">
        <f>'FF Deposit'!AA6+IF(Components!AB6&gt;0,Z6-Components!AB6,Z6*(1+EarningsRate))</f>
        <v>176319.14216925856</v>
      </c>
      <c r="AB6" s="29">
        <f>'FF Deposit'!AB6+IF(Components!AC6&gt;0,AA6-Components!AC6,AA6*(1+EarningsRate))</f>
        <v>185747.31870642892</v>
      </c>
      <c r="AC6" s="29">
        <f>'FF Deposit'!AC6+IF(Components!AD6&gt;0,AB6-Components!AD6,AB6*(1+EarningsRate))</f>
        <v>13529.017723083874</v>
      </c>
      <c r="AD6" s="29">
        <f>'FF Deposit'!AD6+IF(Components!AE6&gt;0,AC6-Components!AE6,AC6*(1+EarningsRate))</f>
        <v>27343.826111923587</v>
      </c>
      <c r="AE6" s="29">
        <f>'FF Deposit'!AE6+IF(Components!AF6&gt;0,AD6-Components!AF6,AD6*(1+EarningsRate))</f>
        <v>41448.745476928932</v>
      </c>
      <c r="AF6" s="29">
        <f>'FF Deposit'!AF6+IF(Components!AG6&gt;0,AE6-Components!AG6,AE6*(1+EarningsRate))</f>
        <v>55849.868148599387</v>
      </c>
      <c r="AG6" s="29">
        <f>'FF Deposit'!AG6+IF(Components!AH6&gt;0,AF6-Components!AH6,AF6*(1+EarningsRate))</f>
        <v>70553.414396374923</v>
      </c>
      <c r="AH6" s="29">
        <f>'FF Deposit'!AH6+IF(Components!AI6&gt;0,AG6-Components!AI6,AG6*(1+EarningsRate))</f>
        <v>85565.735115353746</v>
      </c>
      <c r="AI6" s="29">
        <f>'FF Deposit'!AI6+IF(Components!AJ6&gt;0,AH6-Components!AJ6,AH6*(1+EarningsRate))</f>
        <v>100893.31456943112</v>
      </c>
      <c r="AJ6" s="29">
        <f>'FF Deposit'!AJ6+IF(Components!AK6&gt;0,AI6-Components!AK6,AI6*(1+EarningsRate))</f>
        <v>116542.77319204411</v>
      </c>
      <c r="AK6" s="29">
        <f>'FF Deposit'!AK6+IF(Components!AL6&gt;0,AJ6-Components!AL6,AJ6*(1+EarningsRate))</f>
        <v>132520.87044573197</v>
      </c>
      <c r="AL6" s="29">
        <f>'FF Deposit'!AL6+IF(Components!AM6&gt;0,AK6-Components!AM6,AK6*(1+EarningsRate))</f>
        <v>148834.50774174728</v>
      </c>
      <c r="AM6" s="29">
        <f>'FF Deposit'!AM6+IF(Components!AN6&gt;0,AL6-Components!AN6,AL6*(1+EarningsRate))</f>
        <v>165490.7314209789</v>
      </c>
      <c r="AN6" s="29">
        <f>'FF Deposit'!AN6+IF(Components!AO6&gt;0,AM6-Components!AO6,AM6*(1+EarningsRate))</f>
        <v>182496.73579747439</v>
      </c>
      <c r="AO6" s="29">
        <f>'FF Deposit'!AO6+IF(Components!AP6&gt;0,AN6-Components!AP6,AN6*(1+EarningsRate))</f>
        <v>199859.86626587628</v>
      </c>
      <c r="AP6" s="53"/>
    </row>
    <row r="7" spans="1:43" s="1" customFormat="1">
      <c r="A7" s="220" t="str">
        <f>Components!B7</f>
        <v>Club Exterior</v>
      </c>
      <c r="B7" s="220" t="str">
        <f>Components!C7</f>
        <v>Roof, Picnic Pavilion, shingles</v>
      </c>
      <c r="C7" s="211"/>
      <c r="D7" s="211"/>
      <c r="E7" s="82">
        <f>AnalysisYear-Components!I7-Components!J7</f>
        <v>9</v>
      </c>
      <c r="F7" s="82">
        <f>IF(H7&lt;0,Components!K7-MOD(AnalysisYear-Components!I7-Components!J7,Components!K7),AnalysisYear-Components!I7-Components!J7)</f>
        <v>9</v>
      </c>
      <c r="G7" s="11">
        <f>ROUND(Components!H7*IF(H7&lt;0,((1+InflationRate)^F7),((1+InflationRate)^H7)),0)</f>
        <v>17947</v>
      </c>
      <c r="H7" s="82">
        <f>IF(E7&gt;=0,Components!K7-E7,E7)</f>
        <v>16</v>
      </c>
      <c r="I7" s="82"/>
      <c r="J7" s="211"/>
      <c r="K7" s="29">
        <f>IF($H7&gt;0,FV(EarningsRate,F7,-'FF Deposit'!L7,1),Components!$H7)</f>
        <v>5416.8993554031358</v>
      </c>
      <c r="L7" s="29">
        <f>'FF Deposit'!L7+IF(Components!M7&gt;0,K7-Components!M7,K7*(1+EarningsRate))</f>
        <v>6083.847485317986</v>
      </c>
      <c r="M7" s="29">
        <f>'FF Deposit'!M7+IF(Components!N7&gt;0,L7-Components!N7,L7*(1+EarningsRate))</f>
        <v>6764.8015259610474</v>
      </c>
      <c r="N7" s="29">
        <f>'FF Deposit'!N7+IF(Components!O7&gt;0,M7-Components!O7,M7*(1+EarningsRate))</f>
        <v>7460.0556014576132</v>
      </c>
      <c r="O7" s="29">
        <f>'FF Deposit'!O7+IF(Components!P7&gt;0,N7-Components!P7,N7*(1+EarningsRate))</f>
        <v>8169.9100125396071</v>
      </c>
      <c r="P7" s="29">
        <f>'FF Deposit'!P7+IF(Components!Q7&gt;0,O7-Components!Q7,O7*(1+EarningsRate))</f>
        <v>8894.6713662543243</v>
      </c>
      <c r="Q7" s="29">
        <f>'FF Deposit'!Q7+IF(Components!R7&gt;0,P7-Components!R7,P7*(1+EarningsRate))</f>
        <v>9634.6527083970504</v>
      </c>
      <c r="R7" s="29">
        <f>'FF Deposit'!R7+IF(Components!S7&gt;0,Q7-Components!S7,Q7*(1+EarningsRate))</f>
        <v>10390.173658724772</v>
      </c>
      <c r="S7" s="29">
        <f>'FF Deposit'!S7+IF(Components!T7&gt;0,R7-Components!T7,R7*(1+EarningsRate))</f>
        <v>11161.560549009377</v>
      </c>
      <c r="T7" s="29">
        <f>'FF Deposit'!T7+IF(Components!U7&gt;0,S7-Components!U7,S7*(1+EarningsRate))</f>
        <v>11949.146563989958</v>
      </c>
      <c r="U7" s="29">
        <f>'FF Deposit'!U7+IF(Components!V7&gt;0,T7-Components!V7,T7*(1+EarningsRate))</f>
        <v>12753.271885285132</v>
      </c>
      <c r="V7" s="29">
        <f>'FF Deposit'!V7+IF(Components!W7&gt;0,U7-Components!W7,U7*(1+EarningsRate))</f>
        <v>13574.283838327505</v>
      </c>
      <c r="W7" s="29">
        <f>'FF Deposit'!W7+IF(Components!X7&gt;0,V7-Components!X7,V7*(1+EarningsRate))</f>
        <v>14412.537042383767</v>
      </c>
      <c r="X7" s="29">
        <f>'FF Deposit'!X7+IF(Components!Y7&gt;0,W7-Components!Y7,W7*(1+EarningsRate))</f>
        <v>15268.393563725211</v>
      </c>
      <c r="Y7" s="29">
        <f>'FF Deposit'!Y7+IF(Components!Z7&gt;0,X7-Components!Z7,X7*(1+EarningsRate))</f>
        <v>16142.223072014824</v>
      </c>
      <c r="Z7" s="29">
        <f>'FF Deposit'!Z7+IF(Components!AA7&gt;0,Y7-Components!AA7,Y7*(1+EarningsRate))</f>
        <v>17034.402999978516</v>
      </c>
      <c r="AA7" s="29">
        <f>'FF Deposit'!AA7+IF(Components!AB7&gt;0,Z7-Components!AB7,Z7*(1+EarningsRate))</f>
        <v>17945.318706429447</v>
      </c>
      <c r="AB7" s="29">
        <f>'FF Deposit'!AB7+IF(Components!AC7&gt;0,AA7-Components!AC7,AA7*(1+EarningsRate))</f>
        <v>1305.6498643463476</v>
      </c>
      <c r="AC7" s="29">
        <f>'FF Deposit'!AC7+IF(Components!AD7&gt;0,AB7-Components!AD7,AB7*(1+EarningsRate))</f>
        <v>2640.3996694145217</v>
      </c>
      <c r="AD7" s="29">
        <f>'FF Deposit'!AD7+IF(Components!AE7&gt;0,AC7-Components!AE7,AC7*(1+EarningsRate))</f>
        <v>4003.1792203891273</v>
      </c>
      <c r="AE7" s="29">
        <f>'FF Deposit'!AE7+IF(Components!AF7&gt;0,AD7-Components!AF7,AD7*(1+EarningsRate))</f>
        <v>5394.5771419341991</v>
      </c>
      <c r="AF7" s="29">
        <f>'FF Deposit'!AF7+IF(Components!AG7&gt;0,AE7-Components!AG7,AE7*(1+EarningsRate))</f>
        <v>6815.1944198317169</v>
      </c>
      <c r="AG7" s="29">
        <f>'FF Deposit'!AG7+IF(Components!AH7&gt;0,AF7-Components!AH7,AF7*(1+EarningsRate))</f>
        <v>8265.6446605650835</v>
      </c>
      <c r="AH7" s="29">
        <f>'FF Deposit'!AH7+IF(Components!AI7&gt;0,AG7-Components!AI7,AG7*(1+EarningsRate))</f>
        <v>9746.5543563538504</v>
      </c>
      <c r="AI7" s="29">
        <f>'FF Deposit'!AI7+IF(Components!AJ7&gt;0,AH7-Components!AJ7,AH7*(1+EarningsRate))</f>
        <v>11258.56315575418</v>
      </c>
      <c r="AJ7" s="29">
        <f>'FF Deposit'!AJ7+IF(Components!AK7&gt;0,AI7-Components!AK7,AI7*(1+EarningsRate))</f>
        <v>12802.324139941917</v>
      </c>
      <c r="AK7" s="29">
        <f>'FF Deposit'!AK7+IF(Components!AL7&gt;0,AJ7-Components!AL7,AJ7*(1+EarningsRate))</f>
        <v>14378.504104797596</v>
      </c>
      <c r="AL7" s="29">
        <f>'FF Deposit'!AL7+IF(Components!AM7&gt;0,AK7-Components!AM7,AK7*(1+EarningsRate))</f>
        <v>15987.783848915244</v>
      </c>
      <c r="AM7" s="29">
        <f>'FF Deposit'!AM7+IF(Components!AN7&gt;0,AL7-Components!AN7,AL7*(1+EarningsRate))</f>
        <v>17630.858467659364</v>
      </c>
      <c r="AN7" s="29">
        <f>'FF Deposit'!AN7+IF(Components!AO7&gt;0,AM7-Components!AO7,AM7*(1+EarningsRate))</f>
        <v>19308.437653397112</v>
      </c>
      <c r="AO7" s="29">
        <f>'FF Deposit'!AO7+IF(Components!AP7&gt;0,AN7-Components!AP7,AN7*(1+EarningsRate))</f>
        <v>21021.24600203535</v>
      </c>
      <c r="AP7" s="53"/>
    </row>
    <row r="8" spans="1:43" s="1" customFormat="1">
      <c r="A8" s="220" t="str">
        <f>Components!B8</f>
        <v>Club Exterior</v>
      </c>
      <c r="B8" s="220" t="str">
        <f>Components!C8</f>
        <v>Window replacement, Club</v>
      </c>
      <c r="C8" s="211"/>
      <c r="D8" s="211"/>
      <c r="E8" s="82">
        <f>AnalysisYear-Components!I8-Components!J8</f>
        <v>8</v>
      </c>
      <c r="F8" s="82">
        <f>IF(H8&lt;0,Components!K8-MOD(AnalysisYear-Components!I8-Components!J8,Components!K8),AnalysisYear-Components!I8-Components!J8)</f>
        <v>8</v>
      </c>
      <c r="G8" s="11">
        <f>ROUND(Components!H8*IF(H8&lt;0,((1+InflationRate)^F8),((1+InflationRate)^H8)),0)</f>
        <v>58791</v>
      </c>
      <c r="H8" s="82">
        <f>IF(E8&gt;=0,Components!K8-E8,E8)</f>
        <v>17</v>
      </c>
      <c r="I8" s="82"/>
      <c r="J8" s="211"/>
      <c r="K8" s="29">
        <f>IF($H8&gt;0,FV(EarningsRate,F8,-'FF Deposit'!L8,1),Components!$H8)</f>
        <v>15607.57227867694</v>
      </c>
      <c r="L8" s="29">
        <f>'FF Deposit'!L8+IF(Components!M8&gt;0,K8-Components!M8,K8*(1+EarningsRate))</f>
        <v>17747.488424503208</v>
      </c>
      <c r="M8" s="29">
        <f>'FF Deposit'!M8+IF(Components!N8&gt;0,L8-Components!N8,L8*(1+EarningsRate))</f>
        <v>19932.342809391826</v>
      </c>
      <c r="N8" s="29">
        <f>'FF Deposit'!N8+IF(Components!O8&gt;0,M8-Components!O8,M8*(1+EarningsRate))</f>
        <v>22163.079136363107</v>
      </c>
      <c r="O8" s="29">
        <f>'FF Deposit'!O8+IF(Components!P8&gt;0,N8-Components!P8,N8*(1+EarningsRate))</f>
        <v>24440.660926200784</v>
      </c>
      <c r="P8" s="29">
        <f>'FF Deposit'!P8+IF(Components!Q8&gt;0,O8-Components!Q8,O8*(1+EarningsRate))</f>
        <v>26766.071933625055</v>
      </c>
      <c r="Q8" s="29">
        <f>'FF Deposit'!Q8+IF(Components!R8&gt;0,P8-Components!R8,P8*(1+EarningsRate))</f>
        <v>29140.316572205236</v>
      </c>
      <c r="R8" s="29">
        <f>'FF Deposit'!R8+IF(Components!S8&gt;0,Q8-Components!S8,Q8*(1+EarningsRate))</f>
        <v>31564.420348195599</v>
      </c>
      <c r="S8" s="29">
        <f>'FF Deposit'!S8+IF(Components!T8&gt;0,R8-Components!T8,R8*(1+EarningsRate))</f>
        <v>34039.430303481757</v>
      </c>
      <c r="T8" s="29">
        <f>'FF Deposit'!T8+IF(Components!U8&gt;0,S8-Components!U8,S8*(1+EarningsRate))</f>
        <v>36566.415467828927</v>
      </c>
      <c r="U8" s="29">
        <f>'FF Deposit'!U8+IF(Components!V8&gt;0,T8-Components!V8,T8*(1+EarningsRate))</f>
        <v>39146.467320627387</v>
      </c>
      <c r="V8" s="29">
        <f>'FF Deposit'!V8+IF(Components!W8&gt;0,U8-Components!W8,U8*(1+EarningsRate))</f>
        <v>41780.700262334612</v>
      </c>
      <c r="W8" s="29">
        <f>'FF Deposit'!W8+IF(Components!X8&gt;0,V8-Components!X8,V8*(1+EarningsRate))</f>
        <v>44470.25209581769</v>
      </c>
      <c r="X8" s="29">
        <f>'FF Deposit'!X8+IF(Components!Y8&gt;0,W8-Components!Y8,W8*(1+EarningsRate))</f>
        <v>47216.284517803913</v>
      </c>
      <c r="Y8" s="29">
        <f>'FF Deposit'!Y8+IF(Components!Z8&gt;0,X8-Components!Z8,X8*(1+EarningsRate))</f>
        <v>50019.983620651845</v>
      </c>
      <c r="Z8" s="29">
        <f>'FF Deposit'!Z8+IF(Components!AA8&gt;0,Y8-Components!AA8,Y8*(1+EarningsRate))</f>
        <v>52882.560404659584</v>
      </c>
      <c r="AA8" s="29">
        <f>'FF Deposit'!AA8+IF(Components!AB8&gt;0,Z8-Components!AB8,Z8*(1+EarningsRate))</f>
        <v>55805.25130113148</v>
      </c>
      <c r="AB8" s="29">
        <f>'FF Deposit'!AB8+IF(Components!AC8&gt;0,AA8-Components!AC8,AA8*(1+EarningsRate))</f>
        <v>58789.318706429287</v>
      </c>
      <c r="AC8" s="29">
        <f>'FF Deposit'!AC8+IF(Components!AD8&gt;0,AB8-Components!AD8,AB8*(1+EarningsRate))</f>
        <v>4280.889949817737</v>
      </c>
      <c r="AD8" s="29">
        <f>'FF Deposit'!AD8+IF(Components!AE8&gt;0,AC8-Components!AE8,AC8*(1+EarningsRate))</f>
        <v>8653.3598821523592</v>
      </c>
      <c r="AE8" s="29">
        <f>'FF Deposit'!AE8+IF(Components!AF8&gt;0,AD8-Components!AF8,AD8*(1+EarningsRate))</f>
        <v>13117.651683066008</v>
      </c>
      <c r="AF8" s="29">
        <f>'FF Deposit'!AF8+IF(Components!AG8&gt;0,AE8-Components!AG8,AE8*(1+EarningsRate))</f>
        <v>17675.693611798844</v>
      </c>
      <c r="AG8" s="29">
        <f>'FF Deposit'!AG8+IF(Components!AH8&gt;0,AF8-Components!AH8,AF8*(1+EarningsRate))</f>
        <v>22329.454421035069</v>
      </c>
      <c r="AH8" s="29">
        <f>'FF Deposit'!AH8+IF(Components!AI8&gt;0,AG8-Components!AI8,AG8*(1+EarningsRate))</f>
        <v>27080.944207265253</v>
      </c>
      <c r="AI8" s="29">
        <f>'FF Deposit'!AI8+IF(Components!AJ8&gt;0,AH8-Components!AJ8,AH8*(1+EarningsRate))</f>
        <v>31932.215279006272</v>
      </c>
      <c r="AJ8" s="29">
        <f>'FF Deposit'!AJ8+IF(Components!AK8&gt;0,AI8-Components!AK8,AI8*(1+EarningsRate))</f>
        <v>36885.363043253848</v>
      </c>
      <c r="AK8" s="29">
        <f>'FF Deposit'!AK8+IF(Components!AL8&gt;0,AJ8-Components!AL8,AJ8*(1+EarningsRate))</f>
        <v>41942.526910550623</v>
      </c>
      <c r="AL8" s="29">
        <f>'FF Deposit'!AL8+IF(Components!AM8&gt;0,AK8-Components!AM8,AK8*(1+EarningsRate))</f>
        <v>47105.891219060628</v>
      </c>
      <c r="AM8" s="29">
        <f>'FF Deposit'!AM8+IF(Components!AN8&gt;0,AL8-Components!AN8,AL8*(1+EarningsRate))</f>
        <v>52377.686178049342</v>
      </c>
      <c r="AN8" s="29">
        <f>'FF Deposit'!AN8+IF(Components!AO8&gt;0,AM8-Components!AO8,AM8*(1+EarningsRate))</f>
        <v>57760.18883117682</v>
      </c>
      <c r="AO8" s="29">
        <f>'FF Deposit'!AO8+IF(Components!AP8&gt;0,AN8-Components!AP8,AN8*(1+EarningsRate))</f>
        <v>63255.724040019973</v>
      </c>
      <c r="AP8" s="53"/>
    </row>
    <row r="9" spans="1:43" s="1" customFormat="1">
      <c r="A9" s="220" t="str">
        <f>Components!B9</f>
        <v>Club Exterior</v>
      </c>
      <c r="B9" s="220" t="str">
        <f>Components!C9</f>
        <v>Window replacement, Offices</v>
      </c>
      <c r="C9" s="211"/>
      <c r="D9" s="211"/>
      <c r="E9" s="82">
        <f>AnalysisYear-Components!I9-Components!J9</f>
        <v>8</v>
      </c>
      <c r="F9" s="82">
        <f>IF(H9&lt;0,Components!K9-MOD(AnalysisYear-Components!I9-Components!J9,Components!K9),AnalysisYear-Components!I9-Components!J9)</f>
        <v>8</v>
      </c>
      <c r="G9" s="11">
        <f>ROUND(Components!H9*IF(H9&lt;0,((1+InflationRate)^F9),((1+InflationRate)^H9)),0)</f>
        <v>33745</v>
      </c>
      <c r="H9" s="82">
        <f>IF(E9&gt;=0,Components!K9-E9,E9)</f>
        <v>17</v>
      </c>
      <c r="I9" s="82"/>
      <c r="J9" s="211"/>
      <c r="K9" s="29">
        <f>IF($H9&gt;0,FV(EarningsRate,F9,-'FF Deposit'!L9,1),Components!$H9)</f>
        <v>8957.9689104103072</v>
      </c>
      <c r="L9" s="29">
        <f>'FF Deposit'!L9+IF(Components!M9&gt;0,K9-Components!M9,K9*(1+EarningsRate))</f>
        <v>10186.232577262972</v>
      </c>
      <c r="M9" s="29">
        <f>'FF Deposit'!M9+IF(Components!N9&gt;0,L9-Components!N9,L9*(1+EarningsRate))</f>
        <v>11440.289781119542</v>
      </c>
      <c r="N9" s="29">
        <f>'FF Deposit'!N9+IF(Components!O9&gt;0,M9-Components!O9,M9*(1+EarningsRate))</f>
        <v>12720.6821862571</v>
      </c>
      <c r="O9" s="29">
        <f>'FF Deposit'!O9+IF(Components!P9&gt;0,N9-Components!P9,N9*(1+EarningsRate))</f>
        <v>14027.962831902547</v>
      </c>
      <c r="P9" s="29">
        <f>'FF Deposit'!P9+IF(Components!Q9&gt;0,O9-Components!Q9,O9*(1+EarningsRate))</f>
        <v>15362.696371106547</v>
      </c>
      <c r="Q9" s="29">
        <f>'FF Deposit'!Q9+IF(Components!R9&gt;0,P9-Components!R9,P9*(1+EarningsRate))</f>
        <v>16725.459314633834</v>
      </c>
      <c r="R9" s="29">
        <f>'FF Deposit'!R9+IF(Components!S9&gt;0,Q9-Components!S9,Q9*(1+EarningsRate))</f>
        <v>18116.840279975193</v>
      </c>
      <c r="S9" s="29">
        <f>'FF Deposit'!S9+IF(Components!T9&gt;0,R9-Components!T9,R9*(1+EarningsRate))</f>
        <v>19537.440245588721</v>
      </c>
      <c r="T9" s="29">
        <f>'FF Deposit'!T9+IF(Components!U9&gt;0,S9-Components!U9,S9*(1+EarningsRate))</f>
        <v>20987.87281048013</v>
      </c>
      <c r="U9" s="29">
        <f>'FF Deposit'!U9+IF(Components!V9&gt;0,T9-Components!V9,T9*(1+EarningsRate))</f>
        <v>22468.764459234259</v>
      </c>
      <c r="V9" s="29">
        <f>'FF Deposit'!V9+IF(Components!W9&gt;0,U9-Components!W9,U9*(1+EarningsRate))</f>
        <v>23980.754832612223</v>
      </c>
      <c r="W9" s="29">
        <f>'FF Deposit'!W9+IF(Components!X9&gt;0,V9-Components!X9,V9*(1+EarningsRate))</f>
        <v>25524.497003831126</v>
      </c>
      <c r="X9" s="29">
        <f>'FF Deposit'!X9+IF(Components!Y9&gt;0,W9-Components!Y9,W9*(1+EarningsRate))</f>
        <v>27100.657760645627</v>
      </c>
      <c r="Y9" s="29">
        <f>'FF Deposit'!Y9+IF(Components!Z9&gt;0,X9-Components!Z9,X9*(1+EarningsRate))</f>
        <v>28709.917893353231</v>
      </c>
      <c r="Z9" s="29">
        <f>'FF Deposit'!Z9+IF(Components!AA9&gt;0,Y9-Components!AA9,Y9*(1+EarningsRate))</f>
        <v>30352.972488847696</v>
      </c>
      <c r="AA9" s="29">
        <f>'FF Deposit'!AA9+IF(Components!AB9&gt;0,Z9-Components!AB9,Z9*(1+EarningsRate))</f>
        <v>32030.531230847544</v>
      </c>
      <c r="AB9" s="29">
        <f>'FF Deposit'!AB9+IF(Components!AC9&gt;0,AA9-Components!AC9,AA9*(1+EarningsRate))</f>
        <v>33743.318706429389</v>
      </c>
      <c r="AC9" s="29">
        <f>'FF Deposit'!AC9+IF(Components!AD9&gt;0,AB9-Components!AD9,AB9*(1+EarningsRate))</f>
        <v>2456.4392794447012</v>
      </c>
      <c r="AD9" s="29">
        <f>'FF Deposit'!AD9+IF(Components!AE9&gt;0,AC9-Components!AE9,AC9*(1+EarningsRate))</f>
        <v>4966.1450773283523</v>
      </c>
      <c r="AE9" s="29">
        <f>'FF Deposit'!AE9+IF(Components!AF9&gt;0,AD9-Components!AF9,AD9*(1+EarningsRate))</f>
        <v>7528.5546969675597</v>
      </c>
      <c r="AF9" s="29">
        <f>'FF Deposit'!AF9+IF(Components!AG9&gt;0,AE9-Components!AG9,AE9*(1+EarningsRate))</f>
        <v>10144.77491861919</v>
      </c>
      <c r="AG9" s="29">
        <f>'FF Deposit'!AG9+IF(Components!AH9&gt;0,AF9-Components!AH9,AF9*(1+EarningsRate))</f>
        <v>12815.935764925505</v>
      </c>
      <c r="AH9" s="29">
        <f>'FF Deposit'!AH9+IF(Components!AI9&gt;0,AG9-Components!AI9,AG9*(1+EarningsRate))</f>
        <v>15543.190989004252</v>
      </c>
      <c r="AI9" s="29">
        <f>'FF Deposit'!AI9+IF(Components!AJ9&gt;0,AH9-Components!AJ9,AH9*(1+EarningsRate))</f>
        <v>18327.718572788654</v>
      </c>
      <c r="AJ9" s="29">
        <f>'FF Deposit'!AJ9+IF(Components!AK9&gt;0,AI9-Components!AK9,AI9*(1+EarningsRate))</f>
        <v>21170.721235832527</v>
      </c>
      <c r="AK9" s="29">
        <f>'FF Deposit'!AK9+IF(Components!AL9&gt;0,AJ9-Components!AL9,AJ9*(1+EarningsRate))</f>
        <v>24073.426954800321</v>
      </c>
      <c r="AL9" s="29">
        <f>'FF Deposit'!AL9+IF(Components!AM9&gt;0,AK9-Components!AM9,AK9*(1+EarningsRate))</f>
        <v>27037.089493866439</v>
      </c>
      <c r="AM9" s="29">
        <f>'FF Deposit'!AM9+IF(Components!AN9&gt;0,AL9-Components!AN9,AL9*(1+EarningsRate))</f>
        <v>30062.988946252943</v>
      </c>
      <c r="AN9" s="29">
        <f>'FF Deposit'!AN9+IF(Components!AO9&gt;0,AM9-Components!AO9,AM9*(1+EarningsRate))</f>
        <v>33152.432287139563</v>
      </c>
      <c r="AO9" s="29">
        <f>'FF Deposit'!AO9+IF(Components!AP9&gt;0,AN9-Components!AP9,AN9*(1+EarningsRate))</f>
        <v>36306.753938184804</v>
      </c>
      <c r="AP9" s="53"/>
    </row>
    <row r="10" spans="1:43" s="1" customFormat="1">
      <c r="A10" s="220" t="str">
        <f>Components!B10</f>
        <v>Club Flooring</v>
      </c>
      <c r="B10" s="220" t="str">
        <f>Components!C10</f>
        <v>Auditorium floor</v>
      </c>
      <c r="C10" s="211"/>
      <c r="D10" s="211"/>
      <c r="E10" s="82">
        <f>AnalysisYear-Components!I10-Components!J10</f>
        <v>8</v>
      </c>
      <c r="F10" s="82">
        <f>IF(H10&lt;0,Components!K10-MOD(AnalysisYear-Components!I10-Components!J10,Components!K10),AnalysisYear-Components!I10-Components!J10)</f>
        <v>8</v>
      </c>
      <c r="G10" s="11">
        <f>ROUND(Components!H10*IF(H10&lt;0,((1+InflationRate)^F10),((1+InflationRate)^H10)),0)</f>
        <v>28109</v>
      </c>
      <c r="H10" s="82">
        <f>IF(E10&gt;=0,Components!K10-E10,E10)</f>
        <v>2</v>
      </c>
      <c r="I10" s="82"/>
      <c r="J10" s="211"/>
      <c r="K10" s="29">
        <f>IF($H10&gt;0,FV(EarningsRate,F10,-'FF Deposit'!L10,1),Components!$H10)</f>
        <v>22009.24468522051</v>
      </c>
      <c r="L10" s="29">
        <f>'FF Deposit'!L10+IF(Components!M10&gt;0,K10-Components!M10,K10*(1+EarningsRate))</f>
        <v>25026.822278773652</v>
      </c>
      <c r="M10" s="29">
        <f>'FF Deposit'!M10+IF(Components!N10&gt;0,L10-Components!N10,L10*(1+EarningsRate))</f>
        <v>28107.76900179141</v>
      </c>
      <c r="N10" s="29">
        <f>'FF Deposit'!N10+IF(Components!O10&gt;0,M10-Components!O10,M10*(1+EarningsRate))</f>
        <v>3603.3897365567755</v>
      </c>
      <c r="O10" s="29">
        <f>'FF Deposit'!O10+IF(Components!P10&gt;0,N10-Components!P10,N10*(1+EarningsRate))</f>
        <v>7283.6816557898328</v>
      </c>
      <c r="P10" s="29">
        <f>'FF Deposit'!P10+IF(Components!Q10&gt;0,O10-Components!Q10,O10*(1+EarningsRate))</f>
        <v>11041.259705326784</v>
      </c>
      <c r="Q10" s="29">
        <f>'FF Deposit'!Q10+IF(Components!R10&gt;0,P10-Components!R10,P10*(1+EarningsRate))</f>
        <v>14877.74689390401</v>
      </c>
      <c r="R10" s="29">
        <f>'FF Deposit'!R10+IF(Components!S10&gt;0,Q10-Components!S10,Q10*(1+EarningsRate))</f>
        <v>18794.800313441359</v>
      </c>
      <c r="S10" s="29">
        <f>'FF Deposit'!S10+IF(Components!T10&gt;0,R10-Components!T10,R10*(1+EarningsRate))</f>
        <v>22794.111854788993</v>
      </c>
      <c r="T10" s="29">
        <f>'FF Deposit'!T10+IF(Components!U10&gt;0,S10-Components!U10,S10*(1+EarningsRate))</f>
        <v>26877.408938504926</v>
      </c>
      <c r="U10" s="29">
        <f>'FF Deposit'!U10+IF(Components!V10&gt;0,T10-Components!V10,T10*(1+EarningsRate))</f>
        <v>31046.455260978892</v>
      </c>
      <c r="V10" s="29">
        <f>'FF Deposit'!V10+IF(Components!W10&gt;0,U10-Components!W10,U10*(1+EarningsRate))</f>
        <v>35303.051556224811</v>
      </c>
      <c r="W10" s="29">
        <f>'FF Deposit'!W10+IF(Components!X10&gt;0,V10-Components!X10,V10*(1+EarningsRate))</f>
        <v>39649.036373670897</v>
      </c>
      <c r="X10" s="29">
        <f>'FF Deposit'!X10+IF(Components!Y10&gt;0,W10-Components!Y10,W10*(1+EarningsRate))</f>
        <v>5082.7713964102877</v>
      </c>
      <c r="Y10" s="29">
        <f>'FF Deposit'!Y10+IF(Components!Z10&gt;0,X10-Components!Z10,X10*(1+EarningsRate))</f>
        <v>10274.244618474295</v>
      </c>
      <c r="Z10" s="29">
        <f>'FF Deposit'!Z10+IF(Components!AA10&gt;0,Y10-Components!AA10,Y10*(1+EarningsRate))</f>
        <v>15574.738778201645</v>
      </c>
      <c r="AA10" s="29">
        <f>'FF Deposit'!AA10+IF(Components!AB10&gt;0,Z10-Components!AB10,Z10*(1+EarningsRate))</f>
        <v>20986.54331528327</v>
      </c>
      <c r="AB10" s="29">
        <f>'FF Deposit'!AB10+IF(Components!AC10&gt;0,AA10-Components!AC10,AA10*(1+EarningsRate))</f>
        <v>26511.995747643607</v>
      </c>
      <c r="AC10" s="29">
        <f>'FF Deposit'!AC10+IF(Components!AD10&gt;0,AB10-Components!AD10,AB10*(1+EarningsRate))</f>
        <v>32153.482681083511</v>
      </c>
      <c r="AD10" s="29">
        <f>'FF Deposit'!AD10+IF(Components!AE10&gt;0,AC10-Components!AE10,AC10*(1+EarningsRate))</f>
        <v>37913.440840125651</v>
      </c>
      <c r="AE10" s="29">
        <f>'FF Deposit'!AE10+IF(Components!AF10&gt;0,AD10-Components!AF10,AD10*(1+EarningsRate))</f>
        <v>43794.358120507677</v>
      </c>
      <c r="AF10" s="29">
        <f>'FF Deposit'!AF10+IF(Components!AG10&gt;0,AE10-Components!AG10,AE10*(1+EarningsRate))</f>
        <v>49798.774663777724</v>
      </c>
      <c r="AG10" s="29">
        <f>'FF Deposit'!AG10+IF(Components!AH10&gt;0,AF10-Components!AH10,AF10*(1+EarningsRate))</f>
        <v>55929.283954456441</v>
      </c>
      <c r="AH10" s="29">
        <f>'FF Deposit'!AH10+IF(Components!AI10&gt;0,AG10-Components!AI10,AG10*(1+EarningsRate))</f>
        <v>7169.8495717639389</v>
      </c>
      <c r="AI10" s="29">
        <f>'FF Deposit'!AI10+IF(Components!AJ10&gt;0,AH10-Components!AJ10,AH10*(1+EarningsRate))</f>
        <v>14492.982030078478</v>
      </c>
      <c r="AJ10" s="29">
        <f>'FF Deposit'!AJ10+IF(Components!AK10&gt;0,AI10-Components!AK10,AI10*(1+EarningsRate))</f>
        <v>21969.900270017621</v>
      </c>
      <c r="AK10" s="29">
        <f>'FF Deposit'!AK10+IF(Components!AL10&gt;0,AJ10-Components!AL10,AJ10*(1+EarningsRate))</f>
        <v>29603.833792995487</v>
      </c>
      <c r="AL10" s="29">
        <f>'FF Deposit'!AL10+IF(Components!AM10&gt;0,AK10-Components!AM10,AK10*(1+EarningsRate))</f>
        <v>37398.07991995589</v>
      </c>
      <c r="AM10" s="29">
        <f>'FF Deposit'!AM10+IF(Components!AN10&gt;0,AL10-Components!AN10,AL10*(1+EarningsRate))</f>
        <v>45356.00521558246</v>
      </c>
      <c r="AN10" s="29">
        <f>'FF Deposit'!AN10+IF(Components!AO10&gt;0,AM10-Components!AO10,AM10*(1+EarningsRate))</f>
        <v>53481.046942417182</v>
      </c>
      <c r="AO10" s="29">
        <f>'FF Deposit'!AO10+IF(Components!AP10&gt;0,AN10-Components!AP10,AN10*(1+EarningsRate))</f>
        <v>61776.714545515439</v>
      </c>
      <c r="AP10" s="53"/>
    </row>
    <row r="11" spans="1:43" s="1" customFormat="1">
      <c r="A11" s="220" t="str">
        <f>Components!B11</f>
        <v>Club Flooring</v>
      </c>
      <c r="B11" s="220" t="str">
        <f>Components!C11</f>
        <v>Auditorium stage floor</v>
      </c>
      <c r="C11" s="211"/>
      <c r="D11" s="211"/>
      <c r="E11" s="82">
        <f>AnalysisYear-Components!I11-Components!J11</f>
        <v>1</v>
      </c>
      <c r="F11" s="82">
        <f>IF(H11&lt;0,Components!K11-MOD(AnalysisYear-Components!I11-Components!J11,Components!K11),AnalysisYear-Components!I11-Components!J11)</f>
        <v>1</v>
      </c>
      <c r="G11" s="11">
        <f>ROUND(Components!H11*IF(H11&lt;0,((1+InflationRate)^F11),((1+InflationRate)^H11)),0)</f>
        <v>17215</v>
      </c>
      <c r="H11" s="82">
        <f>IF(E11&gt;=0,Components!K11-E11,E11)</f>
        <v>9</v>
      </c>
      <c r="I11" s="82"/>
      <c r="J11" s="211"/>
      <c r="K11" s="29">
        <f>IF($H11&gt;0,FV(EarningsRate,F11,-'FF Deposit'!L11,1),Components!$H11)</f>
        <v>1563.9911377722308</v>
      </c>
      <c r="L11" s="29">
        <f>'FF Deposit'!L11+IF(Components!M11&gt;0,K11-Components!M11,K11*(1+EarningsRate))</f>
        <v>3161.8470894376851</v>
      </c>
      <c r="M11" s="29">
        <f>'FF Deposit'!M11+IF(Components!N11&gt;0,L11-Components!N11,L11*(1+EarningsRate))</f>
        <v>4793.2580160881143</v>
      </c>
      <c r="N11" s="29">
        <f>'FF Deposit'!N11+IF(Components!O11&gt;0,M11-Components!O11,M11*(1+EarningsRate))</f>
        <v>6458.9285721982023</v>
      </c>
      <c r="O11" s="29">
        <f>'FF Deposit'!O11+IF(Components!P11&gt;0,N11-Components!P11,N11*(1+EarningsRate))</f>
        <v>8159.5782099866019</v>
      </c>
      <c r="P11" s="29">
        <f>'FF Deposit'!P11+IF(Components!Q11&gt;0,O11-Components!Q11,O11*(1+EarningsRate))</f>
        <v>9895.9414901685577</v>
      </c>
      <c r="Q11" s="29">
        <f>'FF Deposit'!Q11+IF(Components!R11&gt;0,P11-Components!R11,P11*(1+EarningsRate))</f>
        <v>11668.768399234334</v>
      </c>
      <c r="R11" s="29">
        <f>'FF Deposit'!R11+IF(Components!S11&gt;0,Q11-Components!S11,Q11*(1+EarningsRate))</f>
        <v>13478.824673390491</v>
      </c>
      <c r="S11" s="29">
        <f>'FF Deposit'!S11+IF(Components!T11&gt;0,R11-Components!T11,R11*(1+EarningsRate))</f>
        <v>15326.892129303928</v>
      </c>
      <c r="T11" s="29">
        <f>'FF Deposit'!T11+IF(Components!U11&gt;0,S11-Components!U11,S11*(1+EarningsRate))</f>
        <v>17213.769001791548</v>
      </c>
      <c r="U11" s="29">
        <f>'FF Deposit'!U11+IF(Components!V11&gt;0,T11-Components!V11,T11*(1+EarningsRate))</f>
        <v>2206.3731836900779</v>
      </c>
      <c r="V11" s="29">
        <f>'FF Deposit'!V11+IF(Components!W11&gt;0,U11-Components!W11,U11*(1+EarningsRate))</f>
        <v>4460.3112024460988</v>
      </c>
      <c r="W11" s="29">
        <f>'FF Deposit'!W11+IF(Components!X11&gt;0,V11-Components!X11,V11*(1+EarningsRate))</f>
        <v>6761.5819195959957</v>
      </c>
      <c r="X11" s="29">
        <f>'FF Deposit'!X11+IF(Components!Y11&gt;0,W11-Components!Y11,W11*(1+EarningsRate))</f>
        <v>9111.1793218060411</v>
      </c>
      <c r="Y11" s="29">
        <f>'FF Deposit'!Y11+IF(Components!Z11&gt;0,X11-Components!Z11,X11*(1+EarningsRate))</f>
        <v>11510.118269462495</v>
      </c>
      <c r="Z11" s="29">
        <f>'FF Deposit'!Z11+IF(Components!AA11&gt;0,Y11-Components!AA11,Y11*(1+EarningsRate))</f>
        <v>13959.434935019737</v>
      </c>
      <c r="AA11" s="29">
        <f>'FF Deposit'!AA11+IF(Components!AB11&gt;0,Z11-Components!AB11,Z11*(1+EarningsRate))</f>
        <v>16460.187250553681</v>
      </c>
      <c r="AB11" s="29">
        <f>'FF Deposit'!AB11+IF(Components!AC11&gt;0,AA11-Components!AC11,AA11*(1+EarningsRate))</f>
        <v>19013.455364713835</v>
      </c>
      <c r="AC11" s="29">
        <f>'FF Deposit'!AC11+IF(Components!AD11&gt;0,AB11-Components!AD11,AB11*(1+EarningsRate))</f>
        <v>21620.342109271351</v>
      </c>
      <c r="AD11" s="29">
        <f>'FF Deposit'!AD11+IF(Components!AE11&gt;0,AC11-Components!AE11,AC11*(1+EarningsRate))</f>
        <v>24281.973475464576</v>
      </c>
      <c r="AE11" s="29">
        <f>'FF Deposit'!AE11+IF(Components!AF11&gt;0,AD11-Components!AF11,AD11*(1+EarningsRate))</f>
        <v>3112.9585088100303</v>
      </c>
      <c r="AF11" s="29">
        <f>'FF Deposit'!AF11+IF(Components!AG11&gt;0,AE11-Components!AG11,AE11*(1+EarningsRate))</f>
        <v>6292.3156708404949</v>
      </c>
      <c r="AG11" s="29">
        <f>'FF Deposit'!AG11+IF(Components!AH11&gt;0,AF11-Components!AH11,AF11*(1+EarningsRate))</f>
        <v>9538.4393332735999</v>
      </c>
      <c r="AH11" s="29">
        <f>'FF Deposit'!AH11+IF(Components!AI11&gt;0,AG11-Components!AI11,AG11*(1+EarningsRate))</f>
        <v>12852.731592617798</v>
      </c>
      <c r="AI11" s="29">
        <f>'FF Deposit'!AI11+IF(Components!AJ11&gt;0,AH11-Components!AJ11,AH11*(1+EarningsRate))</f>
        <v>16236.623989408225</v>
      </c>
      <c r="AJ11" s="29">
        <f>'FF Deposit'!AJ11+IF(Components!AK11&gt;0,AI11-Components!AK11,AI11*(1+EarningsRate))</f>
        <v>19691.578126531247</v>
      </c>
      <c r="AK11" s="29">
        <f>'FF Deposit'!AK11+IF(Components!AL11&gt;0,AJ11-Components!AL11,AJ11*(1+EarningsRate))</f>
        <v>23219.086300533854</v>
      </c>
      <c r="AL11" s="29">
        <f>'FF Deposit'!AL11+IF(Components!AM11&gt;0,AK11-Components!AM11,AK11*(1+EarningsRate))</f>
        <v>26820.672146190518</v>
      </c>
      <c r="AM11" s="29">
        <f>'FF Deposit'!AM11+IF(Components!AN11&gt;0,AL11-Components!AN11,AL11*(1+EarningsRate))</f>
        <v>30497.891294605972</v>
      </c>
      <c r="AN11" s="29">
        <f>'FF Deposit'!AN11+IF(Components!AO11&gt;0,AM11-Components!AO11,AM11*(1+EarningsRate))</f>
        <v>34252.332045138151</v>
      </c>
      <c r="AO11" s="29">
        <f>'FF Deposit'!AO11+IF(Components!AP11&gt;0,AN11-Components!AP11,AN11*(1+EarningsRate))</f>
        <v>4390.9706537209131</v>
      </c>
      <c r="AP11" s="53"/>
    </row>
    <row r="12" spans="1:43" s="1" customFormat="1">
      <c r="A12" s="220" t="str">
        <f>Components!B12</f>
        <v>Club Flooring</v>
      </c>
      <c r="B12" s="220" t="str">
        <f>Components!C12</f>
        <v>Club Lobby and Hallways</v>
      </c>
      <c r="C12" s="211"/>
      <c r="D12" s="211"/>
      <c r="E12" s="82">
        <f>AnalysisYear-Components!I12-Components!J12</f>
        <v>2</v>
      </c>
      <c r="F12" s="82">
        <f>IF(H12&lt;0,Components!K12-MOD(AnalysisYear-Components!I12-Components!J12,Components!K12),AnalysisYear-Components!I12-Components!J12)</f>
        <v>2</v>
      </c>
      <c r="G12" s="11">
        <f>ROUND(Components!H12*IF(H12&lt;0,((1+InflationRate)^F12),((1+InflationRate)^H12)),0)</f>
        <v>22002</v>
      </c>
      <c r="H12" s="82">
        <f>IF(E12&gt;=0,Components!K12-E12,E12)</f>
        <v>3</v>
      </c>
      <c r="I12" s="82"/>
      <c r="J12" s="211"/>
      <c r="K12" s="29">
        <f>IF($H12&gt;0,FV(EarningsRate,F12,-'FF Deposit'!L12,1),Components!$H12)</f>
        <v>8526.4123386928532</v>
      </c>
      <c r="L12" s="29">
        <f>'FF Deposit'!L12+IF(Components!M12&gt;0,K12-Components!M12,K12*(1+EarningsRate))</f>
        <v>12924.890441493135</v>
      </c>
      <c r="M12" s="29">
        <f>'FF Deposit'!M12+IF(Components!N12&gt;0,L12-Components!N12,L12*(1+EarningsRate))</f>
        <v>17415.736584452221</v>
      </c>
      <c r="N12" s="29">
        <f>'FF Deposit'!N12+IF(Components!O12&gt;0,M12-Components!O12,M12*(1+EarningsRate))</f>
        <v>22000.890496413449</v>
      </c>
      <c r="O12" s="29">
        <f>'FF Deposit'!O12+IF(Components!P12&gt;0,N12-Components!P12,N12*(1+EarningsRate))</f>
        <v>5010.2419382067437</v>
      </c>
      <c r="P12" s="29">
        <f>'FF Deposit'!P12+IF(Components!Q12&gt;0,O12-Components!Q12,O12*(1+EarningsRate))</f>
        <v>10126.808460702379</v>
      </c>
      <c r="Q12" s="29">
        <f>'FF Deposit'!Q12+IF(Components!R12&gt;0,P12-Components!R12,P12*(1+EarningsRate))</f>
        <v>15350.822880170423</v>
      </c>
      <c r="R12" s="29">
        <f>'FF Deposit'!R12+IF(Components!S12&gt;0,Q12-Components!S12,Q12*(1+EarningsRate))</f>
        <v>20684.541602447294</v>
      </c>
      <c r="S12" s="29">
        <f>'FF Deposit'!S12+IF(Components!T12&gt;0,R12-Components!T12,R12*(1+EarningsRate))</f>
        <v>26130.268417891981</v>
      </c>
      <c r="T12" s="29">
        <f>'FF Deposit'!T12+IF(Components!U12&gt;0,S12-Components!U12,S12*(1+EarningsRate))</f>
        <v>5951.0739140059968</v>
      </c>
      <c r="U12" s="29">
        <f>'FF Deposit'!U12+IF(Components!V12&gt;0,T12-Components!V12,T12*(1+EarningsRate))</f>
        <v>12027.851962314138</v>
      </c>
      <c r="V12" s="29">
        <f>'FF Deposit'!V12+IF(Components!W12&gt;0,U12-Components!W12,U12*(1+EarningsRate))</f>
        <v>18232.242349636752</v>
      </c>
      <c r="W12" s="29">
        <f>'FF Deposit'!W12+IF(Components!X12&gt;0,V12-Components!X12,V12*(1+EarningsRate))</f>
        <v>24566.924935093139</v>
      </c>
      <c r="X12" s="29">
        <f>'FF Deposit'!X12+IF(Components!Y12&gt;0,W12-Components!Y12,W12*(1+EarningsRate))</f>
        <v>31034.635854844106</v>
      </c>
      <c r="Y12" s="29">
        <f>'FF Deposit'!Y12+IF(Components!Z12&gt;0,X12-Components!Z12,X12*(1+EarningsRate))</f>
        <v>7067.6433699562194</v>
      </c>
      <c r="Z12" s="29">
        <f>'FF Deposit'!Z12+IF(Components!AA12&gt;0,Y12-Components!AA12,Y12*(1+EarningsRate))</f>
        <v>14285.071395837413</v>
      </c>
      <c r="AA12" s="29">
        <f>'FF Deposit'!AA12+IF(Components!AB12&gt;0,Z12-Components!AB12,Z12*(1+EarningsRate))</f>
        <v>21654.065410262112</v>
      </c>
      <c r="AB12" s="29">
        <f>'FF Deposit'!AB12+IF(Components!AC12&gt;0,AA12-Components!AC12,AA12*(1+EarningsRate))</f>
        <v>29177.808298989727</v>
      </c>
      <c r="AC12" s="29">
        <f>'FF Deposit'!AC12+IF(Components!AD12&gt;0,AB12-Components!AD12,AB12*(1+EarningsRate))</f>
        <v>36859.549788380624</v>
      </c>
      <c r="AD12" s="29">
        <f>'FF Deposit'!AD12+IF(Components!AE12&gt;0,AC12-Components!AE12,AC12*(1+EarningsRate))</f>
        <v>8394.3058785516387</v>
      </c>
      <c r="AE12" s="29">
        <f>'FF Deposit'!AE12+IF(Components!AF12&gt;0,AD12-Components!AF12,AD12*(1+EarningsRate))</f>
        <v>16966.342392172235</v>
      </c>
      <c r="AF12" s="29">
        <f>'FF Deposit'!AF12+IF(Components!AG12&gt;0,AE12-Components!AG12,AE12*(1+EarningsRate))</f>
        <v>25718.391672578866</v>
      </c>
      <c r="AG12" s="29">
        <f>'FF Deposit'!AG12+IF(Components!AH12&gt;0,AF12-Components!AH12,AF12*(1+EarningsRate))</f>
        <v>34654.233987874031</v>
      </c>
      <c r="AH12" s="29">
        <f>'FF Deposit'!AH12+IF(Components!AI12&gt;0,AG12-Components!AI12,AG12*(1+EarningsRate))</f>
        <v>43777.728991790398</v>
      </c>
      <c r="AI12" s="29">
        <f>'FF Deposit'!AI12+IF(Components!AJ12&gt;0,AH12-Components!AJ12,AH12*(1+EarningsRate))</f>
        <v>9970.1840763403779</v>
      </c>
      <c r="AJ12" s="29">
        <f>'FF Deposit'!AJ12+IF(Components!AK12&gt;0,AI12-Components!AK12,AI12*(1+EarningsRate))</f>
        <v>20151.013026493507</v>
      </c>
      <c r="AK12" s="29">
        <f>'FF Deposit'!AK12+IF(Components!AL12&gt;0,AJ12-Components!AL12,AJ12*(1+EarningsRate))</f>
        <v>30545.63938459985</v>
      </c>
      <c r="AL12" s="29">
        <f>'FF Deposit'!AL12+IF(Components!AM12&gt;0,AK12-Components!AM12,AK12*(1+EarningsRate))</f>
        <v>41158.552896226422</v>
      </c>
      <c r="AM12" s="29">
        <f>'FF Deposit'!AM12+IF(Components!AN12&gt;0,AL12-Components!AN12,AL12*(1+EarningsRate))</f>
        <v>51994.337591597156</v>
      </c>
      <c r="AN12" s="29">
        <f>'FF Deposit'!AN12+IF(Components!AO12&gt;0,AM12-Components!AO12,AM12*(1+EarningsRate))</f>
        <v>11841.362296964129</v>
      </c>
      <c r="AO12" s="29">
        <f>'FF Deposit'!AO12+IF(Components!AP12&gt;0,AN12-Components!AP12,AN12*(1+EarningsRate))</f>
        <v>23933.055610567346</v>
      </c>
      <c r="AP12" s="53"/>
    </row>
    <row r="13" spans="1:43" s="1" customFormat="1">
      <c r="A13" s="220" t="str">
        <f>Components!B13</f>
        <v>Club Flooring</v>
      </c>
      <c r="B13" s="220" t="str">
        <f>Components!C13</f>
        <v>Exercise Room Floor</v>
      </c>
      <c r="C13" s="211"/>
      <c r="D13" s="211"/>
      <c r="E13" s="82">
        <f>AnalysisYear-Components!I13-Components!J13</f>
        <v>8</v>
      </c>
      <c r="F13" s="82">
        <f>IF(H13&lt;0,Components!K13-MOD(AnalysisYear-Components!I13-Components!J13,Components!K13),AnalysisYear-Components!I13-Components!J13)</f>
        <v>8</v>
      </c>
      <c r="G13" s="11">
        <f>ROUND(Components!H13*IF(H13&lt;0,((1+InflationRate)^F13),((1+InflationRate)^H13)),0)</f>
        <v>11387</v>
      </c>
      <c r="H13" s="82">
        <f>IF(E13&gt;=0,Components!K13-E13,E13)</f>
        <v>2</v>
      </c>
      <c r="I13" s="82"/>
      <c r="J13" s="211"/>
      <c r="K13" s="29">
        <f>IF($H13&gt;0,FV(EarningsRate,F13,-'FF Deposit'!L13,1),Components!$H13)</f>
        <v>8915.2770481888565</v>
      </c>
      <c r="L13" s="29">
        <f>'FF Deposit'!L13+IF(Components!M13&gt;0,K13-Components!M13,K13*(1+EarningsRate))</f>
        <v>10137.687713009562</v>
      </c>
      <c r="M13" s="29">
        <f>'FF Deposit'!M13+IF(Components!N13&gt;0,L13-Components!N13,L13*(1+EarningsRate))</f>
        <v>11385.769001791501</v>
      </c>
      <c r="N13" s="29">
        <f>'FF Deposit'!N13+IF(Components!O13&gt;0,M13-Components!O13,M13*(1+EarningsRate))</f>
        <v>1459.006516707479</v>
      </c>
      <c r="O13" s="29">
        <f>'FF Deposit'!O13+IF(Components!P13&gt;0,N13-Components!P13,N13*(1+EarningsRate))</f>
        <v>2949.8831684743136</v>
      </c>
      <c r="P13" s="29">
        <f>'FF Deposit'!P13+IF(Components!Q13&gt;0,O13-Components!Q13,O13*(1+EarningsRate))</f>
        <v>4472.0682299282525</v>
      </c>
      <c r="Q13" s="29">
        <f>'FF Deposit'!Q13+IF(Components!R13&gt;0,P13-Components!R13,P13*(1+EarningsRate))</f>
        <v>6026.2191776727232</v>
      </c>
      <c r="R13" s="29">
        <f>'FF Deposit'!R13+IF(Components!S13&gt;0,Q13-Components!S13,Q13*(1+EarningsRate))</f>
        <v>7613.0072953198278</v>
      </c>
      <c r="S13" s="29">
        <f>'FF Deposit'!S13+IF(Components!T13&gt;0,R13-Components!T13,R13*(1+EarningsRate))</f>
        <v>9233.1179634375221</v>
      </c>
      <c r="T13" s="29">
        <f>'FF Deposit'!T13+IF(Components!U13&gt;0,S13-Components!U13,S13*(1+EarningsRate))</f>
        <v>10887.250955585687</v>
      </c>
      <c r="U13" s="29">
        <f>'FF Deposit'!U13+IF(Components!V13&gt;0,T13-Components!V13,T13*(1+EarningsRate))</f>
        <v>12576.120740568964</v>
      </c>
      <c r="V13" s="29">
        <f>'FF Deposit'!V13+IF(Components!W13&gt;0,U13-Components!W13,U13*(1+EarningsRate))</f>
        <v>14300.45679103689</v>
      </c>
      <c r="W13" s="29">
        <f>'FF Deposit'!W13+IF(Components!X13&gt;0,V13-Components!X13,V13*(1+EarningsRate))</f>
        <v>16061.003898564641</v>
      </c>
      <c r="X13" s="29">
        <f>'FF Deposit'!X13+IF(Components!Y13&gt;0,W13-Components!Y13,W13*(1+EarningsRate))</f>
        <v>2058.7505363604105</v>
      </c>
      <c r="Y13" s="29">
        <f>'FF Deposit'!Y13+IF(Components!Z13&gt;0,X13-Components!Z13,X13*(1+EarningsRate))</f>
        <v>4161.7309354197487</v>
      </c>
      <c r="Z13" s="29">
        <f>'FF Deposit'!Z13+IF(Components!AA13&gt;0,Y13-Components!AA13,Y13*(1+EarningsRate))</f>
        <v>6308.8739228593331</v>
      </c>
      <c r="AA13" s="29">
        <f>'FF Deposit'!AA13+IF(Components!AB13&gt;0,Z13-Components!AB13,Z13*(1+EarningsRate))</f>
        <v>8501.106913035148</v>
      </c>
      <c r="AB13" s="29">
        <f>'FF Deposit'!AB13+IF(Components!AC13&gt;0,AA13-Components!AC13,AA13*(1+EarningsRate))</f>
        <v>10739.376796004655</v>
      </c>
      <c r="AC13" s="29">
        <f>'FF Deposit'!AC13+IF(Components!AD13&gt;0,AB13-Components!AD13,AB13*(1+EarningsRate))</f>
        <v>13024.650346516522</v>
      </c>
      <c r="AD13" s="29">
        <f>'FF Deposit'!AD13+IF(Components!AE13&gt;0,AC13-Components!AE13,AC13*(1+EarningsRate))</f>
        <v>15357.914641589137</v>
      </c>
      <c r="AE13" s="29">
        <f>'FF Deposit'!AE13+IF(Components!AF13&gt;0,AD13-Components!AF13,AD13*(1+EarningsRate))</f>
        <v>17740.17748685828</v>
      </c>
      <c r="AF13" s="29">
        <f>'FF Deposit'!AF13+IF(Components!AG13&gt;0,AE13-Components!AG13,AE13*(1+EarningsRate))</f>
        <v>20172.467851878071</v>
      </c>
      <c r="AG13" s="29">
        <f>'FF Deposit'!AG13+IF(Components!AH13&gt;0,AF13-Components!AH13,AF13*(1+EarningsRate))</f>
        <v>22655.836314563276</v>
      </c>
      <c r="AH13" s="29">
        <f>'FF Deposit'!AH13+IF(Components!AI13&gt;0,AG13-Components!AI13,AG13*(1+EarningsRate))</f>
        <v>2904.3075866675449</v>
      </c>
      <c r="AI13" s="29">
        <f>'FF Deposit'!AI13+IF(Components!AJ13&gt;0,AH13-Components!AJ13,AH13*(1+EarningsRate))</f>
        <v>5870.7693180918322</v>
      </c>
      <c r="AJ13" s="29">
        <f>'FF Deposit'!AJ13+IF(Components!AK13&gt;0,AI13-Components!AK13,AI13*(1+EarningsRate))</f>
        <v>8899.52674587603</v>
      </c>
      <c r="AK13" s="29">
        <f>'FF Deposit'!AK13+IF(Components!AL13&gt;0,AJ13-Components!AL13,AJ13*(1+EarningsRate))</f>
        <v>11991.888079643695</v>
      </c>
      <c r="AL13" s="29">
        <f>'FF Deposit'!AL13+IF(Components!AM13&gt;0,AK13-Components!AM13,AK13*(1+EarningsRate))</f>
        <v>15149.18900142048</v>
      </c>
      <c r="AM13" s="29">
        <f>'FF Deposit'!AM13+IF(Components!AN13&gt;0,AL13-Components!AN13,AL13*(1+EarningsRate))</f>
        <v>18372.793242554577</v>
      </c>
      <c r="AN13" s="29">
        <f>'FF Deposit'!AN13+IF(Components!AO13&gt;0,AM13-Components!AO13,AM13*(1+EarningsRate))</f>
        <v>21664.093172752491</v>
      </c>
      <c r="AO13" s="29">
        <f>'FF Deposit'!AO13+IF(Components!AP13&gt;0,AN13-Components!AP13,AN13*(1+EarningsRate))</f>
        <v>25024.510401484564</v>
      </c>
      <c r="AP13" s="53"/>
    </row>
    <row r="14" spans="1:43" s="1" customFormat="1">
      <c r="A14" s="220" t="str">
        <f>Components!B14</f>
        <v>Club Flooring</v>
      </c>
      <c r="B14" s="220" t="str">
        <f>Components!C14</f>
        <v>Locker Room Floor Tile</v>
      </c>
      <c r="C14" s="211"/>
      <c r="D14" s="211"/>
      <c r="E14" s="82">
        <f>AnalysisYear-Components!I14-Components!J14</f>
        <v>8</v>
      </c>
      <c r="F14" s="82">
        <f>IF(H14&lt;0,Components!K14-MOD(AnalysisYear-Components!I14-Components!J14,Components!K14),AnalysisYear-Components!I14-Components!J14)</f>
        <v>8</v>
      </c>
      <c r="G14" s="11">
        <f>ROUND(Components!H14*IF(H14&lt;0,((1+InflationRate)^F14),((1+InflationRate)^H14)),0)</f>
        <v>30221</v>
      </c>
      <c r="H14" s="82">
        <f>IF(E14&gt;=0,Components!K14-E14,E14)</f>
        <v>7</v>
      </c>
      <c r="I14" s="82"/>
      <c r="J14" s="211"/>
      <c r="K14" s="29">
        <f>IF($H14&gt;0,FV(EarningsRate,F14,-'FF Deposit'!L14,1),Components!$H14)</f>
        <v>14942.598027931223</v>
      </c>
      <c r="L14" s="29">
        <f>'FF Deposit'!L14+IF(Components!M14&gt;0,K14-Components!M14,K14*(1+EarningsRate))</f>
        <v>16991.347018278866</v>
      </c>
      <c r="M14" s="29">
        <f>'FF Deposit'!M14+IF(Components!N14&gt;0,L14-Components!N14,L14*(1+EarningsRate))</f>
        <v>19083.119737423811</v>
      </c>
      <c r="N14" s="29">
        <f>'FF Deposit'!N14+IF(Components!O14&gt;0,M14-Components!O14,M14*(1+EarningsRate))</f>
        <v>21218.819683670798</v>
      </c>
      <c r="O14" s="29">
        <f>'FF Deposit'!O14+IF(Components!P14&gt;0,N14-Components!P14,N14*(1+EarningsRate))</f>
        <v>23399.369328788973</v>
      </c>
      <c r="P14" s="29">
        <f>'FF Deposit'!P14+IF(Components!Q14&gt;0,O14-Components!Q14,O14*(1+EarningsRate))</f>
        <v>25625.710516454626</v>
      </c>
      <c r="Q14" s="29">
        <f>'FF Deposit'!Q14+IF(Components!R14&gt;0,P14-Components!R14,P14*(1+EarningsRate))</f>
        <v>27898.80486906126</v>
      </c>
      <c r="R14" s="29">
        <f>'FF Deposit'!R14+IF(Components!S14&gt;0,Q14-Components!S14,Q14*(1+EarningsRate))</f>
        <v>30219.634203072634</v>
      </c>
      <c r="S14" s="29">
        <f>'FF Deposit'!S14+IF(Components!T14&gt;0,R14-Components!T14,R14*(1+EarningsRate))</f>
        <v>2905.2880817318537</v>
      </c>
      <c r="T14" s="29">
        <f>'FF Deposit'!T14+IF(Components!U14&gt;0,S14-Components!U14,S14*(1+EarningsRate))</f>
        <v>5872.9530101074424</v>
      </c>
      <c r="U14" s="29">
        <f>'FF Deposit'!U14+IF(Components!V14&gt;0,T14-Components!V14,T14*(1+EarningsRate))</f>
        <v>8902.9389019789178</v>
      </c>
      <c r="V14" s="29">
        <f>'FF Deposit'!V14+IF(Components!W14&gt;0,U14-Components!W14,U14*(1+EarningsRate))</f>
        <v>11996.554497579695</v>
      </c>
      <c r="W14" s="29">
        <f>'FF Deposit'!W14+IF(Components!X14&gt;0,V14-Components!X14,V14*(1+EarningsRate))</f>
        <v>15155.136020688089</v>
      </c>
      <c r="X14" s="29">
        <f>'FF Deposit'!X14+IF(Components!Y14&gt;0,W14-Components!Y14,W14*(1+EarningsRate))</f>
        <v>18380.047755781758</v>
      </c>
      <c r="Y14" s="29">
        <f>'FF Deposit'!Y14+IF(Components!Z14&gt;0,X14-Components!Z14,X14*(1+EarningsRate))</f>
        <v>21672.682637312395</v>
      </c>
      <c r="Z14" s="29">
        <f>'FF Deposit'!Z14+IF(Components!AA14&gt;0,Y14-Components!AA14,Y14*(1+EarningsRate))</f>
        <v>25034.462851355172</v>
      </c>
      <c r="AA14" s="29">
        <f>'FF Deposit'!AA14+IF(Components!AB14&gt;0,Z14-Components!AB14,Z14*(1+EarningsRate))</f>
        <v>28466.84044989285</v>
      </c>
      <c r="AB14" s="29">
        <f>'FF Deposit'!AB14+IF(Components!AC14&gt;0,AA14-Components!AC14,AA14*(1+EarningsRate))</f>
        <v>31971.297977999817</v>
      </c>
      <c r="AC14" s="29">
        <f>'FF Deposit'!AC14+IF(Components!AD14&gt;0,AB14-Components!AD14,AB14*(1+EarningsRate))</f>
        <v>35549.34911419703</v>
      </c>
      <c r="AD14" s="29">
        <f>'FF Deposit'!AD14+IF(Components!AE14&gt;0,AC14-Components!AE14,AC14*(1+EarningsRate))</f>
        <v>39202.539324254387</v>
      </c>
      <c r="AE14" s="29">
        <f>'FF Deposit'!AE14+IF(Components!AF14&gt;0,AD14-Components!AF14,AD14*(1+EarningsRate))</f>
        <v>42932.446528722947</v>
      </c>
      <c r="AF14" s="29">
        <f>'FF Deposit'!AF14+IF(Components!AG14&gt;0,AE14-Components!AG14,AE14*(1+EarningsRate))</f>
        <v>46740.681784485343</v>
      </c>
      <c r="AG14" s="29">
        <f>'FF Deposit'!AG14+IF(Components!AH14&gt;0,AF14-Components!AH14,AF14*(1+EarningsRate))</f>
        <v>50628.889980618755</v>
      </c>
      <c r="AH14" s="29">
        <f>'FF Deposit'!AH14+IF(Components!AI14&gt;0,AG14-Components!AI14,AG14*(1+EarningsRate))</f>
        <v>4868.4801952548123</v>
      </c>
      <c r="AI14" s="29">
        <f>'FF Deposit'!AI14+IF(Components!AJ14&gt;0,AH14-Components!AJ14,AH14*(1+EarningsRate))</f>
        <v>9840.3084939912205</v>
      </c>
      <c r="AJ14" s="29">
        <f>'FF Deposit'!AJ14+IF(Components!AK14&gt;0,AI14-Components!AK14,AI14*(1+EarningsRate))</f>
        <v>14916.545187001095</v>
      </c>
      <c r="AK14" s="29">
        <f>'FF Deposit'!AK14+IF(Components!AL14&gt;0,AJ14-Components!AL14,AJ14*(1+EarningsRate))</f>
        <v>20099.382850564172</v>
      </c>
      <c r="AL14" s="29">
        <f>'FF Deposit'!AL14+IF(Components!AM14&gt;0,AK14-Components!AM14,AK14*(1+EarningsRate))</f>
        <v>25391.060105062075</v>
      </c>
      <c r="AM14" s="29">
        <f>'FF Deposit'!AM14+IF(Components!AN14&gt;0,AL14-Components!AN14,AL14*(1+EarningsRate))</f>
        <v>30793.862581904432</v>
      </c>
      <c r="AN14" s="29">
        <f>'FF Deposit'!AN14+IF(Components!AO14&gt;0,AM14-Components!AO14,AM14*(1+EarningsRate))</f>
        <v>36310.123910760478</v>
      </c>
      <c r="AO14" s="29">
        <f>'FF Deposit'!AO14+IF(Components!AP14&gt;0,AN14-Components!AP14,AN14*(1+EarningsRate))</f>
        <v>41942.226727522502</v>
      </c>
      <c r="AP14" s="53"/>
    </row>
    <row r="15" spans="1:43" s="1" customFormat="1">
      <c r="A15" s="220" t="str">
        <f>Components!B15</f>
        <v>Club Flooring</v>
      </c>
      <c r="B15" s="220" t="str">
        <f>Components!C15</f>
        <v>Management Office/Board Room</v>
      </c>
      <c r="C15" s="211"/>
      <c r="D15" s="211"/>
      <c r="E15" s="82">
        <f>AnalysisYear-Components!I15-Components!J15</f>
        <v>7</v>
      </c>
      <c r="F15" s="82">
        <f>IF(H15&lt;0,Components!K15-MOD(AnalysisYear-Components!I15-Components!J15,Components!K15),AnalysisYear-Components!I15-Components!J15)</f>
        <v>7</v>
      </c>
      <c r="G15" s="11">
        <f>ROUND(Components!H15*IF(H15&lt;0,((1+InflationRate)^F15),((1+InflationRate)^H15)),0)</f>
        <v>20251</v>
      </c>
      <c r="H15" s="82">
        <f>IF(E15&gt;=0,Components!K15-E15,E15)</f>
        <v>1</v>
      </c>
      <c r="I15" s="82"/>
      <c r="J15" s="211"/>
      <c r="K15" s="29">
        <f>IF($H15&gt;0,FV(EarningsRate,F15,-'FF Deposit'!L15,1),Components!$H15)</f>
        <v>17530.561036273251</v>
      </c>
      <c r="L15" s="29">
        <f>'FF Deposit'!L15+IF(Components!M15&gt;0,K15-Components!M15,K15*(1+EarningsRate))</f>
        <v>20249.819119539086</v>
      </c>
      <c r="M15" s="29">
        <f>'FF Deposit'!M15+IF(Components!N15&gt;0,L15-Components!N15,L15*(1+EarningsRate))</f>
        <v>3094.7903123116562</v>
      </c>
      <c r="N15" s="29">
        <f>'FF Deposit'!N15+IF(Components!O15&gt;0,M15-Components!O15,M15*(1+EarningsRate))</f>
        <v>6255.7521016427709</v>
      </c>
      <c r="O15" s="29">
        <f>'FF Deposit'!O15+IF(Components!P15&gt;0,N15-Components!P15,N15*(1+EarningsRate))</f>
        <v>9483.0940885498385</v>
      </c>
      <c r="P15" s="29">
        <f>'FF Deposit'!P15+IF(Components!Q15&gt;0,O15-Components!Q15,O15*(1+EarningsRate))</f>
        <v>12778.210257181954</v>
      </c>
      <c r="Q15" s="29">
        <f>'FF Deposit'!Q15+IF(Components!R15&gt;0,P15-Components!R15,P15*(1+EarningsRate))</f>
        <v>16142.523865355344</v>
      </c>
      <c r="R15" s="29">
        <f>'FF Deposit'!R15+IF(Components!S15&gt;0,Q15-Components!S15,Q15*(1+EarningsRate))</f>
        <v>19577.488059300373</v>
      </c>
      <c r="S15" s="29">
        <f>'FF Deposit'!S15+IF(Components!T15&gt;0,R15-Components!T15,R15*(1+EarningsRate))</f>
        <v>23084.586501318248</v>
      </c>
      <c r="T15" s="29">
        <f>'FF Deposit'!T15+IF(Components!U15&gt;0,S15-Components!U15,S15*(1+EarningsRate))</f>
        <v>26665.334010618499</v>
      </c>
      <c r="U15" s="29">
        <f>'FF Deposit'!U15+IF(Components!V15&gt;0,T15-Components!V15,T15*(1+EarningsRate))</f>
        <v>4076.0298689204765</v>
      </c>
      <c r="V15" s="29">
        <f>'FF Deposit'!V15+IF(Components!W15&gt;0,U15-Components!W15,U15*(1+EarningsRate))</f>
        <v>8238.322354469783</v>
      </c>
      <c r="W15" s="29">
        <f>'FF Deposit'!W15+IF(Components!X15&gt;0,V15-Components!X15,V15*(1+EarningsRate))</f>
        <v>12488.022982215625</v>
      </c>
      <c r="X15" s="29">
        <f>'FF Deposit'!X15+IF(Components!Y15&gt;0,W15-Components!Y15,W15*(1+EarningsRate))</f>
        <v>16826.96732314413</v>
      </c>
      <c r="Y15" s="29">
        <f>'FF Deposit'!Y15+IF(Components!Z15&gt;0,X15-Components!Z15,X15*(1+EarningsRate))</f>
        <v>21257.029495232131</v>
      </c>
      <c r="Z15" s="29">
        <f>'FF Deposit'!Z15+IF(Components!AA15&gt;0,Y15-Components!AA15,Y15*(1+EarningsRate))</f>
        <v>25780.122972933979</v>
      </c>
      <c r="AA15" s="29">
        <f>'FF Deposit'!AA15+IF(Components!AB15&gt;0,Z15-Components!AB15,Z15*(1+EarningsRate))</f>
        <v>30398.201413667568</v>
      </c>
      <c r="AB15" s="29">
        <f>'FF Deposit'!AB15+IF(Components!AC15&gt;0,AA15-Components!AC15,AA15*(1+EarningsRate))</f>
        <v>35113.259501656561</v>
      </c>
      <c r="AC15" s="29">
        <f>'FF Deposit'!AC15+IF(Components!AD15&gt;0,AB15-Components!AD15,AB15*(1+EarningsRate))</f>
        <v>5367.4848961070084</v>
      </c>
      <c r="AD15" s="29">
        <f>'FF Deposit'!AD15+IF(Components!AE15&gt;0,AC15-Components!AE15,AC15*(1+EarningsRate))</f>
        <v>10848.427473375701</v>
      </c>
      <c r="AE15" s="29">
        <f>'FF Deposit'!AE15+IF(Components!AF15&gt;0,AD15-Components!AF15,AD15*(1+EarningsRate))</f>
        <v>16444.469844767038</v>
      </c>
      <c r="AF15" s="29">
        <f>'FF Deposit'!AF15+IF(Components!AG15&gt;0,AE15-Components!AG15,AE15*(1+EarningsRate))</f>
        <v>22158.029105957594</v>
      </c>
      <c r="AG15" s="29">
        <f>'FF Deposit'!AG15+IF(Components!AH15&gt;0,AF15-Components!AH15,AF15*(1+EarningsRate))</f>
        <v>27991.573111633148</v>
      </c>
      <c r="AH15" s="29">
        <f>'FF Deposit'!AH15+IF(Components!AI15&gt;0,AG15-Components!AI15,AG15*(1+EarningsRate))</f>
        <v>33947.621541427885</v>
      </c>
      <c r="AI15" s="29">
        <f>'FF Deposit'!AI15+IF(Components!AJ15&gt;0,AH15-Components!AJ15,AH15*(1+EarningsRate))</f>
        <v>40028.746988248313</v>
      </c>
      <c r="AJ15" s="29">
        <f>'FF Deposit'!AJ15+IF(Components!AK15&gt;0,AI15-Components!AK15,AI15*(1+EarningsRate))</f>
        <v>46237.57606945197</v>
      </c>
      <c r="AK15" s="29">
        <f>'FF Deposit'!AK15+IF(Components!AL15&gt;0,AJ15-Components!AL15,AJ15*(1+EarningsRate))</f>
        <v>7067.5905370146038</v>
      </c>
      <c r="AL15" s="29">
        <f>'FF Deposit'!AL15+IF(Components!AM15&gt;0,AK15-Components!AM15,AK15*(1+EarningsRate))</f>
        <v>14285.024405854543</v>
      </c>
      <c r="AM15" s="29">
        <f>'FF Deposit'!AM15+IF(Components!AN15&gt;0,AL15-Components!AN15,AL15*(1+EarningsRate))</f>
        <v>21654.02438594012</v>
      </c>
      <c r="AN15" s="29">
        <f>'FF Deposit'!AN15+IF(Components!AO15&gt;0,AM15-Components!AO15,AM15*(1+EarningsRate))</f>
        <v>29177.773365607492</v>
      </c>
      <c r="AO15" s="29">
        <f>'FF Deposit'!AO15+IF(Components!AP15&gt;0,AN15-Components!AP15,AN15*(1+EarningsRate))</f>
        <v>36859.521073847878</v>
      </c>
      <c r="AP15" s="53"/>
    </row>
    <row r="16" spans="1:43" s="1" customFormat="1">
      <c r="A16" s="220" t="str">
        <f>Components!B16</f>
        <v>Club Flooring</v>
      </c>
      <c r="B16" s="220" t="str">
        <f>Components!C16</f>
        <v>Upstairs Hallways/Activity Rooms</v>
      </c>
      <c r="C16" s="211"/>
      <c r="D16" s="211"/>
      <c r="E16" s="82">
        <f>AnalysisYear-Components!I16-Components!J16</f>
        <v>7</v>
      </c>
      <c r="F16" s="82">
        <f>IF(H16&lt;0,Components!K16-MOD(AnalysisYear-Components!I16-Components!J16,Components!K16),AnalysisYear-Components!I16-Components!J16)</f>
        <v>7</v>
      </c>
      <c r="G16" s="11">
        <f>ROUND(Components!H16*IF(H16&lt;0,((1+InflationRate)^F16),((1+InflationRate)^H16)),0)</f>
        <v>35601</v>
      </c>
      <c r="H16" s="82">
        <f>IF(E16&gt;=0,Components!K16-E16,E16)</f>
        <v>1</v>
      </c>
      <c r="I16" s="82"/>
      <c r="J16" s="211"/>
      <c r="K16" s="29">
        <f>IF($H16&gt;0,FV(EarningsRate,F16,-'FF Deposit'!L16,1),Components!$H16)</f>
        <v>30819.379642486645</v>
      </c>
      <c r="L16" s="29">
        <f>'FF Deposit'!L16+IF(Components!M16&gt;0,K16-Components!M16,K16*(1+EarningsRate))</f>
        <v>35599.819119539003</v>
      </c>
      <c r="M16" s="29">
        <f>'FF Deposit'!M16+IF(Components!N16&gt;0,L16-Components!N16,L16*(1+EarningsRate))</f>
        <v>5441.4970334146765</v>
      </c>
      <c r="N16" s="29">
        <f>'FF Deposit'!N16+IF(Components!O16&gt;0,M16-Components!O16,M16*(1+EarningsRate))</f>
        <v>10998.446384992058</v>
      </c>
      <c r="O16" s="29">
        <f>'FF Deposit'!O16+IF(Components!P16&gt;0,N16-Components!P16,N16*(1+EarningsRate))</f>
        <v>16672.091672952563</v>
      </c>
      <c r="P16" s="29">
        <f>'FF Deposit'!P16+IF(Components!Q16&gt;0,O16-Components!Q16,O16*(1+EarningsRate))</f>
        <v>22464.883511960237</v>
      </c>
      <c r="Q16" s="29">
        <f>'FF Deposit'!Q16+IF(Components!R16&gt;0,P16-Components!R16,P16*(1+EarningsRate))</f>
        <v>28379.323979587076</v>
      </c>
      <c r="R16" s="29">
        <f>'FF Deposit'!R16+IF(Components!S16&gt;0,Q16-Components!S16,Q16*(1+EarningsRate))</f>
        <v>34417.967697034073</v>
      </c>
      <c r="S16" s="29">
        <f>'FF Deposit'!S16+IF(Components!T16&gt;0,R16-Components!T16,R16*(1+EarningsRate))</f>
        <v>40583.422932547459</v>
      </c>
      <c r="T16" s="29">
        <f>'FF Deposit'!T16+IF(Components!U16&gt;0,S16-Components!U16,S16*(1+EarningsRate))</f>
        <v>46878.352728006626</v>
      </c>
      <c r="U16" s="29">
        <f>'FF Deposit'!U16+IF(Components!V16&gt;0,T16-Components!V16,T16*(1+EarningsRate))</f>
        <v>7165.3632221638572</v>
      </c>
      <c r="V16" s="29">
        <f>'FF Deposit'!V16+IF(Components!W16&gt;0,U16-Components!W16,U16*(1+EarningsRate))</f>
        <v>14482.846343986528</v>
      </c>
      <c r="W16" s="29">
        <f>'FF Deposit'!W16+IF(Components!X16&gt;0,V16-Components!X16,V16*(1+EarningsRate))</f>
        <v>21953.996611367475</v>
      </c>
      <c r="X16" s="29">
        <f>'FF Deposit'!X16+IF(Components!Y16&gt;0,W16-Components!Y16,W16*(1+EarningsRate))</f>
        <v>29582.041034363421</v>
      </c>
      <c r="Y16" s="29">
        <f>'FF Deposit'!Y16+IF(Components!Z16&gt;0,X16-Components!Z16,X16*(1+EarningsRate))</f>
        <v>37370.274390242281</v>
      </c>
      <c r="Z16" s="29">
        <f>'FF Deposit'!Z16+IF(Components!AA16&gt;0,Y16-Components!AA16,Y16*(1+EarningsRate))</f>
        <v>45322.060646594597</v>
      </c>
      <c r="AA16" s="29">
        <f>'FF Deposit'!AA16+IF(Components!AB16&gt;0,Z16-Components!AB16,Z16*(1+EarningsRate))</f>
        <v>53440.834414330304</v>
      </c>
      <c r="AB16" s="29">
        <f>'FF Deposit'!AB16+IF(Components!AC16&gt;0,AA16-Components!AC16,AA16*(1+EarningsRate))</f>
        <v>61730.102431188461</v>
      </c>
      <c r="AC16" s="29">
        <f>'FF Deposit'!AC16+IF(Components!AD16&gt;0,AB16-Components!AD16,AB16*(1+EarningsRate))</f>
        <v>9435.6854479400426</v>
      </c>
      <c r="AD16" s="29">
        <f>'FF Deposit'!AD16+IF(Components!AE16&gt;0,AC16-Components!AE16,AC16*(1+EarningsRate))</f>
        <v>19071.417859098365</v>
      </c>
      <c r="AE16" s="29">
        <f>'FF Deposit'!AE16+IF(Components!AF16&gt;0,AD16-Components!AF16,AD16*(1+EarningsRate))</f>
        <v>28909.500650891008</v>
      </c>
      <c r="AF16" s="29">
        <f>'FF Deposit'!AF16+IF(Components!AG16&gt;0,AE16-Components!AG16,AE16*(1+EarningsRate))</f>
        <v>38954.183181311295</v>
      </c>
      <c r="AG16" s="29">
        <f>'FF Deposit'!AG16+IF(Components!AH16&gt;0,AF16-Components!AH16,AF16*(1+EarningsRate))</f>
        <v>49209.804044870412</v>
      </c>
      <c r="AH16" s="29">
        <f>'FF Deposit'!AH16+IF(Components!AI16&gt;0,AG16-Components!AI16,AG16*(1+EarningsRate))</f>
        <v>59680.792946564266</v>
      </c>
      <c r="AI16" s="29">
        <f>'FF Deposit'!AI16+IF(Components!AJ16&gt;0,AH16-Components!AJ16,AH16*(1+EarningsRate))</f>
        <v>70371.672615193689</v>
      </c>
      <c r="AJ16" s="29">
        <f>'FF Deposit'!AJ16+IF(Components!AK16&gt;0,AI16-Components!AK16,AI16*(1+EarningsRate))</f>
        <v>81287.060756864332</v>
      </c>
      <c r="AK16" s="29">
        <f>'FF Deposit'!AK16+IF(Components!AL16&gt;0,AJ16-Components!AL16,AJ16*(1+EarningsRate))</f>
        <v>12425.516304209621</v>
      </c>
      <c r="AL16" s="29">
        <f>'FF Deposit'!AL16+IF(Components!AM16&gt;0,AK16-Components!AM16,AK16*(1+EarningsRate))</f>
        <v>25113.907693943311</v>
      </c>
      <c r="AM16" s="29">
        <f>'FF Deposit'!AM16+IF(Components!AN16&gt;0,AL16-Components!AN16,AL16*(1+EarningsRate))</f>
        <v>38068.755302861406</v>
      </c>
      <c r="AN16" s="29">
        <f>'FF Deposit'!AN16+IF(Components!AO16&gt;0,AM16-Components!AO16,AM16*(1+EarningsRate))</f>
        <v>51295.654711566778</v>
      </c>
      <c r="AO16" s="29">
        <f>'FF Deposit'!AO16+IF(Components!AP16&gt;0,AN16-Components!AP16,AN16*(1+EarningsRate))</f>
        <v>64800.319007854967</v>
      </c>
      <c r="AP16" s="53"/>
    </row>
    <row r="17" spans="1:42" s="1" customFormat="1">
      <c r="A17" s="220" t="str">
        <f>Components!B17</f>
        <v>Club HVAC</v>
      </c>
      <c r="B17" s="220" t="str">
        <f>Components!C17</f>
        <v>Boiler</v>
      </c>
      <c r="C17" s="211"/>
      <c r="D17" s="211"/>
      <c r="E17" s="82">
        <f>AnalysisYear-Components!I17-Components!J17</f>
        <v>8</v>
      </c>
      <c r="F17" s="82">
        <f>IF(H17&lt;0,Components!K17-MOD(AnalysisYear-Components!I17-Components!J17,Components!K17),AnalysisYear-Components!I17-Components!J17)</f>
        <v>8</v>
      </c>
      <c r="G17" s="11">
        <f>ROUND(Components!H17*IF(H17&lt;0,((1+InflationRate)^F17),((1+InflationRate)^H17)),0)</f>
        <v>41884</v>
      </c>
      <c r="H17" s="82">
        <f>IF(E17&gt;=0,Components!K17-E17,E17)</f>
        <v>7</v>
      </c>
      <c r="I17" s="82"/>
      <c r="J17" s="211"/>
      <c r="K17" s="29">
        <f>IF($H17&gt;0,FV(EarningsRate,F17,-'FF Deposit'!L17,1),Components!$H17)</f>
        <v>20709.756408149482</v>
      </c>
      <c r="L17" s="29">
        <f>'FF Deposit'!L17+IF(Components!M17&gt;0,K17-Components!M17,K17*(1+EarningsRate))</f>
        <v>23549.17575021314</v>
      </c>
      <c r="M17" s="29">
        <f>'FF Deposit'!M17+IF(Components!N17&gt;0,L17-Components!N17,L17*(1+EarningsRate))</f>
        <v>26448.222898460135</v>
      </c>
      <c r="N17" s="29">
        <f>'FF Deposit'!N17+IF(Components!O17&gt;0,M17-Components!O17,M17*(1+EarningsRate))</f>
        <v>29408.150036820316</v>
      </c>
      <c r="O17" s="29">
        <f>'FF Deposit'!O17+IF(Components!P17&gt;0,N17-Components!P17,N17*(1+EarningsRate))</f>
        <v>32430.235645086061</v>
      </c>
      <c r="P17" s="29">
        <f>'FF Deposit'!P17+IF(Components!Q17&gt;0,O17-Components!Q17,O17*(1+EarningsRate))</f>
        <v>35515.785051125386</v>
      </c>
      <c r="Q17" s="29">
        <f>'FF Deposit'!Q17+IF(Components!R17&gt;0,P17-Components!R17,P17*(1+EarningsRate))</f>
        <v>38666.130994691535</v>
      </c>
      <c r="R17" s="29">
        <f>'FF Deposit'!R17+IF(Components!S17&gt;0,Q17-Components!S17,Q17*(1+EarningsRate))</f>
        <v>41882.634203072579</v>
      </c>
      <c r="S17" s="29">
        <f>'FF Deposit'!S17+IF(Components!T17&gt;0,R17-Components!T17,R17*(1+EarningsRate))</f>
        <v>4027.0346879593394</v>
      </c>
      <c r="T17" s="29">
        <f>'FF Deposit'!T17+IF(Components!U17&gt;0,S17-Components!U17,S17*(1+EarningsRate))</f>
        <v>8140.0029012932446</v>
      </c>
      <c r="U17" s="29">
        <f>'FF Deposit'!U17+IF(Components!V17&gt;0,T17-Components!V17,T17*(1+EarningsRate))</f>
        <v>12339.343447107163</v>
      </c>
      <c r="V17" s="29">
        <f>'FF Deposit'!V17+IF(Components!W17&gt;0,U17-Components!W17,U17*(1+EarningsRate))</f>
        <v>16626.870144383171</v>
      </c>
      <c r="W17" s="29">
        <f>'FF Deposit'!W17+IF(Components!X17&gt;0,V17-Components!X17,V17*(1+EarningsRate))</f>
        <v>21004.434902301975</v>
      </c>
      <c r="X17" s="29">
        <f>'FF Deposit'!X17+IF(Components!Y17&gt;0,W17-Components!Y17,W17*(1+EarningsRate))</f>
        <v>25473.928520137073</v>
      </c>
      <c r="Y17" s="29">
        <f>'FF Deposit'!Y17+IF(Components!Z17&gt;0,X17-Components!Z17,X17*(1+EarningsRate))</f>
        <v>30037.28150394671</v>
      </c>
      <c r="Z17" s="29">
        <f>'FF Deposit'!Z17+IF(Components!AA17&gt;0,Y17-Components!AA17,Y17*(1+EarningsRate))</f>
        <v>34696.464900416351</v>
      </c>
      <c r="AA17" s="29">
        <f>'FF Deposit'!AA17+IF(Components!AB17&gt;0,Z17-Components!AB17,Z17*(1+EarningsRate))</f>
        <v>39453.491148211855</v>
      </c>
      <c r="AB17" s="29">
        <f>'FF Deposit'!AB17+IF(Components!AC17&gt;0,AA17-Components!AC17,AA17*(1+EarningsRate))</f>
        <v>44310.414947211066</v>
      </c>
      <c r="AC17" s="29">
        <f>'FF Deposit'!AC17+IF(Components!AD17&gt;0,AB17-Components!AD17,AB17*(1+EarningsRate))</f>
        <v>49269.334145989254</v>
      </c>
      <c r="AD17" s="29">
        <f>'FF Deposit'!AD17+IF(Components!AE17&gt;0,AC17-Components!AE17,AC17*(1+EarningsRate))</f>
        <v>54332.390647941786</v>
      </c>
      <c r="AE17" s="29">
        <f>'FF Deposit'!AE17+IF(Components!AF17&gt;0,AD17-Components!AF17,AD17*(1+EarningsRate))</f>
        <v>59501.771336435319</v>
      </c>
      <c r="AF17" s="29">
        <f>'FF Deposit'!AF17+IF(Components!AG17&gt;0,AE17-Components!AG17,AE17*(1+EarningsRate))</f>
        <v>64779.709019387221</v>
      </c>
      <c r="AG17" s="29">
        <f>'FF Deposit'!AG17+IF(Components!AH17&gt;0,AF17-Components!AH17,AF17*(1+EarningsRate))</f>
        <v>70168.483393681105</v>
      </c>
      <c r="AH17" s="29">
        <f>'FF Deposit'!AH17+IF(Components!AI17&gt;0,AG17-Components!AI17,AG17*(1+EarningsRate))</f>
        <v>6747.4295789667494</v>
      </c>
      <c r="AI17" s="29">
        <f>'FF Deposit'!AI17+IF(Components!AJ17&gt;0,AH17-Components!AJ17,AH17*(1+EarningsRate))</f>
        <v>13638.071785410695</v>
      </c>
      <c r="AJ17" s="29">
        <f>'FF Deposit'!AJ17+IF(Components!AK17&gt;0,AI17-Components!AK17,AI17*(1+EarningsRate))</f>
        <v>20673.417478189964</v>
      </c>
      <c r="AK17" s="29">
        <f>'FF Deposit'!AK17+IF(Components!AL17&gt;0,AJ17-Components!AL17,AJ17*(1+EarningsRate))</f>
        <v>27856.505430517595</v>
      </c>
      <c r="AL17" s="29">
        <f>'FF Deposit'!AL17+IF(Components!AM17&gt;0,AK17-Components!AM17,AK17*(1+EarningsRate))</f>
        <v>35190.438229844105</v>
      </c>
      <c r="AM17" s="29">
        <f>'FF Deposit'!AM17+IF(Components!AN17&gt;0,AL17-Components!AN17,AL17*(1+EarningsRate))</f>
        <v>42678.383617956475</v>
      </c>
      <c r="AN17" s="29">
        <f>'FF Deposit'!AN17+IF(Components!AO17&gt;0,AM17-Components!AO17,AM17*(1+EarningsRate))</f>
        <v>50323.575859219207</v>
      </c>
      <c r="AO17" s="29">
        <f>'FF Deposit'!AO17+IF(Components!AP17&gt;0,AN17-Components!AP17,AN17*(1+EarningsRate))</f>
        <v>58129.317137548453</v>
      </c>
      <c r="AP17" s="53"/>
    </row>
    <row r="18" spans="1:42" s="1" customFormat="1">
      <c r="A18" s="220" t="str">
        <f>Components!B18</f>
        <v>Club HVAC</v>
      </c>
      <c r="B18" s="220" t="str">
        <f>Components!C18</f>
        <v>Boiler #1 Copper Coil</v>
      </c>
      <c r="C18" s="211"/>
      <c r="D18" s="211"/>
      <c r="E18" s="82">
        <f>AnalysisYear-Components!I18-Components!J18</f>
        <v>11</v>
      </c>
      <c r="F18" s="82">
        <f>IF(H18&lt;0,Components!K18-MOD(AnalysisYear-Components!I18-Components!J18,Components!K18),AnalysisYear-Components!I18-Components!J18)</f>
        <v>11</v>
      </c>
      <c r="G18" s="11">
        <f>ROUND(Components!H18*IF(H18&lt;0,((1+InflationRate)^F18),((1+InflationRate)^H18)),0)</f>
        <v>18986</v>
      </c>
      <c r="H18" s="82">
        <f>IF(E18&gt;=0,Components!K18-E18,E18)</f>
        <v>4</v>
      </c>
      <c r="I18" s="82"/>
      <c r="J18" s="211"/>
      <c r="K18" s="29">
        <f>IF($H18&gt;0,FV(EarningsRate,F18,-'FF Deposit'!L18,1),Components!$H18)</f>
        <v>13330.01521504051</v>
      </c>
      <c r="L18" s="29">
        <f>'FF Deposit'!L18+IF(Components!M18&gt;0,K18-Components!M18,K18*(1+EarningsRate))</f>
        <v>14699.910950704603</v>
      </c>
      <c r="M18" s="29">
        <f>'FF Deposit'!M18+IF(Components!N18&gt;0,L18-Components!N18,L18*(1+EarningsRate))</f>
        <v>16098.574496817642</v>
      </c>
      <c r="N18" s="29">
        <f>'FF Deposit'!N18+IF(Components!O18&gt;0,M18-Components!O18,M18*(1+EarningsRate))</f>
        <v>17526.609977399054</v>
      </c>
      <c r="O18" s="29">
        <f>'FF Deposit'!O18+IF(Components!P18&gt;0,N18-Components!P18,N18*(1+EarningsRate))</f>
        <v>18984.634203072674</v>
      </c>
      <c r="P18" s="29">
        <f>'FF Deposit'!P18+IF(Components!Q18&gt;0,O18-Components!Q18,O18*(1+EarningsRate))</f>
        <v>1824.7064885769241</v>
      </c>
      <c r="Q18" s="29">
        <f>'FF Deposit'!Q18+IF(Components!R18&gt;0,P18-Components!R18,P18*(1+EarningsRate))</f>
        <v>3689.0976103412895</v>
      </c>
      <c r="R18" s="29">
        <f>'FF Deposit'!R18+IF(Components!S18&gt;0,Q18-Components!S18,Q18*(1+EarningsRate))</f>
        <v>5592.6409456627061</v>
      </c>
      <c r="S18" s="29">
        <f>'FF Deposit'!S18+IF(Components!T18&gt;0,R18-Components!T18,R18*(1+EarningsRate))</f>
        <v>7536.1586910258729</v>
      </c>
      <c r="T18" s="29">
        <f>'FF Deposit'!T18+IF(Components!U18&gt;0,S18-Components!U18,S18*(1+EarningsRate))</f>
        <v>9520.4903090416665</v>
      </c>
      <c r="U18" s="29">
        <f>'FF Deposit'!U18+IF(Components!V18&gt;0,T18-Components!V18,T18*(1+EarningsRate))</f>
        <v>11546.492891035792</v>
      </c>
      <c r="V18" s="29">
        <f>'FF Deposit'!V18+IF(Components!W18&gt;0,U18-Components!W18,U18*(1+EarningsRate))</f>
        <v>13615.041527251793</v>
      </c>
      <c r="W18" s="29">
        <f>'FF Deposit'!W18+IF(Components!X18&gt;0,V18-Components!X18,V18*(1+EarningsRate))</f>
        <v>15727.029684828329</v>
      </c>
      <c r="X18" s="29">
        <f>'FF Deposit'!X18+IF(Components!Y18&gt;0,W18-Components!Y18,W18*(1+EarningsRate))</f>
        <v>17883.369593713971</v>
      </c>
      <c r="Y18" s="29">
        <f>'FF Deposit'!Y18+IF(Components!Z18&gt;0,X18-Components!Z18,X18*(1+EarningsRate))</f>
        <v>20084.992640686214</v>
      </c>
      <c r="Z18" s="29">
        <f>'FF Deposit'!Z18+IF(Components!AA18&gt;0,Y18-Components!AA18,Y18*(1+EarningsRate))</f>
        <v>22332.849771644873</v>
      </c>
      <c r="AA18" s="29">
        <f>'FF Deposit'!AA18+IF(Components!AB18&gt;0,Z18-Components!AB18,Z18*(1+EarningsRate))</f>
        <v>24627.911902353666</v>
      </c>
      <c r="AB18" s="29">
        <f>'FF Deposit'!AB18+IF(Components!AC18&gt;0,AA18-Components!AC18,AA18*(1+EarningsRate))</f>
        <v>26971.170337807343</v>
      </c>
      <c r="AC18" s="29">
        <f>'FF Deposit'!AC18+IF(Components!AD18&gt;0,AB18-Components!AD18,AB18*(1+EarningsRate))</f>
        <v>29363.637200405545</v>
      </c>
      <c r="AD18" s="29">
        <f>'FF Deposit'!AD18+IF(Components!AE18&gt;0,AC18-Components!AE18,AC18*(1+EarningsRate))</f>
        <v>31806.345867118311</v>
      </c>
      <c r="AE18" s="29">
        <f>'FF Deposit'!AE18+IF(Components!AF18&gt;0,AD18-Components!AF18,AD18*(1+EarningsRate))</f>
        <v>3057.6373059321309</v>
      </c>
      <c r="AF18" s="29">
        <f>'FF Deposit'!AF18+IF(Components!AG18&gt;0,AE18-Components!AG18,AE18*(1+EarningsRate))</f>
        <v>6181.1391281705255</v>
      </c>
      <c r="AG18" s="29">
        <f>'FF Deposit'!AG18+IF(Components!AH18&gt;0,AF18-Components!AH18,AF18*(1+EarningsRate))</f>
        <v>9370.2344886759256</v>
      </c>
      <c r="AH18" s="29">
        <f>'FF Deposit'!AH18+IF(Components!AI18&gt;0,AG18-Components!AI18,AG18*(1+EarningsRate))</f>
        <v>12626.300851751939</v>
      </c>
      <c r="AI18" s="29">
        <f>'FF Deposit'!AI18+IF(Components!AJ18&gt;0,AH18-Components!AJ18,AH18*(1+EarningsRate))</f>
        <v>15950.744608452549</v>
      </c>
      <c r="AJ18" s="29">
        <f>'FF Deposit'!AJ18+IF(Components!AK18&gt;0,AI18-Components!AK18,AI18*(1+EarningsRate))</f>
        <v>19345.001684043873</v>
      </c>
      <c r="AK18" s="29">
        <f>'FF Deposit'!AK18+IF(Components!AL18&gt;0,AJ18-Components!AL18,AJ18*(1+EarningsRate))</f>
        <v>22810.538158222611</v>
      </c>
      <c r="AL18" s="29">
        <f>'FF Deposit'!AL18+IF(Components!AM18&gt;0,AK18-Components!AM18,AK18*(1+EarningsRate))</f>
        <v>26348.850898359102</v>
      </c>
      <c r="AM18" s="29">
        <f>'FF Deposit'!AM18+IF(Components!AN18&gt;0,AL18-Components!AN18,AL18*(1+EarningsRate))</f>
        <v>29961.468206038458</v>
      </c>
      <c r="AN18" s="29">
        <f>'FF Deposit'!AN18+IF(Components!AO18&gt;0,AM18-Components!AO18,AM18*(1+EarningsRate))</f>
        <v>33649.950477179082</v>
      </c>
      <c r="AO18" s="29">
        <f>'FF Deposit'!AO18+IF(Components!AP18&gt;0,AN18-Components!AP18,AN18*(1+EarningsRate))</f>
        <v>37415.890876013662</v>
      </c>
      <c r="AP18" s="53"/>
    </row>
    <row r="19" spans="1:42" s="1" customFormat="1">
      <c r="A19" s="220" t="str">
        <f>Components!B19</f>
        <v>Club HVAC</v>
      </c>
      <c r="B19" s="220" t="str">
        <f>Components!C19</f>
        <v>Boiler #2 Copper Coil</v>
      </c>
      <c r="C19" s="211"/>
      <c r="D19" s="211"/>
      <c r="E19" s="82">
        <f>AnalysisYear-Components!I19-Components!J19</f>
        <v>8</v>
      </c>
      <c r="F19" s="82">
        <f>IF(H19&lt;0,Components!K19-MOD(AnalysisYear-Components!I19-Components!J19,Components!K19),AnalysisYear-Components!I19-Components!J19)</f>
        <v>8</v>
      </c>
      <c r="G19" s="11">
        <f>ROUND(Components!H19*IF(H19&lt;0,((1+InflationRate)^F19),((1+InflationRate)^H19)),0)</f>
        <v>8977</v>
      </c>
      <c r="H19" s="82">
        <f>IF(E19&gt;=0,Components!K19-E19,E19)</f>
        <v>7</v>
      </c>
      <c r="I19" s="82"/>
      <c r="J19" s="211"/>
      <c r="K19" s="29">
        <f>IF($H19&gt;0,FV(EarningsRate,F19,-'FF Deposit'!L19,1),Components!$H19)</f>
        <v>4437.7954360289023</v>
      </c>
      <c r="L19" s="29">
        <f>'FF Deposit'!L19+IF(Components!M19&gt;0,K19-Components!M19,K19*(1+EarningsRate))</f>
        <v>5046.3488547521774</v>
      </c>
      <c r="M19" s="29">
        <f>'FF Deposit'!M19+IF(Components!N19&gt;0,L19-Components!N19,L19*(1+EarningsRate))</f>
        <v>5667.6818952686417</v>
      </c>
      <c r="N19" s="29">
        <f>'FF Deposit'!N19+IF(Components!O19&gt;0,M19-Components!O19,M19*(1+EarningsRate))</f>
        <v>6302.0629296359521</v>
      </c>
      <c r="O19" s="29">
        <f>'FF Deposit'!O19+IF(Components!P19&gt;0,N19-Components!P19,N19*(1+EarningsRate))</f>
        <v>6949.7659657249751</v>
      </c>
      <c r="P19" s="29">
        <f>'FF Deposit'!P19+IF(Components!Q19&gt;0,O19-Components!Q19,O19*(1+EarningsRate))</f>
        <v>7611.0707655718679</v>
      </c>
      <c r="Q19" s="29">
        <f>'FF Deposit'!Q19+IF(Components!R19&gt;0,P19-Components!R19,P19*(1+EarningsRate))</f>
        <v>8286.262966215545</v>
      </c>
      <c r="R19" s="29">
        <f>'FF Deposit'!R19+IF(Components!S19&gt;0,Q19-Components!S19,Q19*(1+EarningsRate))</f>
        <v>8975.634203072741</v>
      </c>
      <c r="S19" s="29">
        <f>'FF Deposit'!S19+IF(Components!T19&gt;0,R19-Components!T19,R19*(1+EarningsRate))</f>
        <v>862.04149828877667</v>
      </c>
      <c r="T19" s="29">
        <f>'FF Deposit'!T19+IF(Components!U19&gt;0,S19-Components!U19,S19*(1+EarningsRate))</f>
        <v>1743.5516649688766</v>
      </c>
      <c r="U19" s="29">
        <f>'FF Deposit'!U19+IF(Components!V19&gt;0,T19-Components!V19,T19*(1+EarningsRate))</f>
        <v>2643.5735451492583</v>
      </c>
      <c r="V19" s="29">
        <f>'FF Deposit'!V19+IF(Components!W19&gt;0,U19-Components!W19,U19*(1+EarningsRate))</f>
        <v>3562.4958848134283</v>
      </c>
      <c r="W19" s="29">
        <f>'FF Deposit'!W19+IF(Components!X19&gt;0,V19-Components!X19,V19*(1+EarningsRate))</f>
        <v>4500.7155936105455</v>
      </c>
      <c r="X19" s="29">
        <f>'FF Deposit'!X19+IF(Components!Y19&gt;0,W19-Components!Y19,W19*(1+EarningsRate))</f>
        <v>5458.6379162924022</v>
      </c>
      <c r="Y19" s="29">
        <f>'FF Deposit'!Y19+IF(Components!Z19&gt;0,X19-Components!Z19,X19*(1+EarningsRate))</f>
        <v>6436.6766077505781</v>
      </c>
      <c r="Z19" s="29">
        <f>'FF Deposit'!Z19+IF(Components!AA19&gt;0,Y19-Components!AA19,Y19*(1+EarningsRate))</f>
        <v>7435.2541117293758</v>
      </c>
      <c r="AA19" s="29">
        <f>'FF Deposit'!AA19+IF(Components!AB19&gt;0,Z19-Components!AB19,Z19*(1+EarningsRate))</f>
        <v>8454.8017432917277</v>
      </c>
      <c r="AB19" s="29">
        <f>'FF Deposit'!AB19+IF(Components!AC19&gt;0,AA19-Components!AC19,AA19*(1+EarningsRate))</f>
        <v>9495.759875116888</v>
      </c>
      <c r="AC19" s="29">
        <f>'FF Deposit'!AC19+IF(Components!AD19&gt;0,AB19-Components!AD19,AB19*(1+EarningsRate))</f>
        <v>10558.578127710376</v>
      </c>
      <c r="AD19" s="29">
        <f>'FF Deposit'!AD19+IF(Components!AE19&gt;0,AC19-Components!AE19,AC19*(1+EarningsRate))</f>
        <v>11643.715563608328</v>
      </c>
      <c r="AE19" s="29">
        <f>'FF Deposit'!AE19+IF(Components!AF19&gt;0,AD19-Components!AF19,AD19*(1+EarningsRate))</f>
        <v>12751.640885660137</v>
      </c>
      <c r="AF19" s="29">
        <f>'FF Deposit'!AF19+IF(Components!AG19&gt;0,AE19-Components!AG19,AE19*(1+EarningsRate))</f>
        <v>13882.832639475035</v>
      </c>
      <c r="AG19" s="29">
        <f>'FF Deposit'!AG19+IF(Components!AH19&gt;0,AF19-Components!AH19,AF19*(1+EarningsRate))</f>
        <v>15037.779420120045</v>
      </c>
      <c r="AH19" s="29">
        <f>'FF Deposit'!AH19+IF(Components!AI19&gt;0,AG19-Components!AI19,AG19*(1+EarningsRate))</f>
        <v>1444.3256738851312</v>
      </c>
      <c r="AI19" s="29">
        <f>'FF Deposit'!AI19+IF(Components!AJ19&gt;0,AH19-Components!AJ19,AH19*(1+EarningsRate))</f>
        <v>2921.2027668018054</v>
      </c>
      <c r="AJ19" s="29">
        <f>'FF Deposit'!AJ19+IF(Components!AK19&gt;0,AI19-Components!AK19,AI19*(1+EarningsRate))</f>
        <v>4429.0942786697296</v>
      </c>
      <c r="AK19" s="29">
        <f>'FF Deposit'!AK19+IF(Components!AL19&gt;0,AJ19-Components!AL19,AJ19*(1+EarningsRate))</f>
        <v>5968.6515122868805</v>
      </c>
      <c r="AL19" s="29">
        <f>'FF Deposit'!AL19+IF(Components!AM19&gt;0,AK19-Components!AM19,AK19*(1+EarningsRate))</f>
        <v>7540.5394478099906</v>
      </c>
      <c r="AM19" s="29">
        <f>'FF Deposit'!AM19+IF(Components!AN19&gt;0,AL19-Components!AN19,AL19*(1+EarningsRate))</f>
        <v>9145.4370299790862</v>
      </c>
      <c r="AN19" s="29">
        <f>'FF Deposit'!AN19+IF(Components!AO19&gt;0,AM19-Components!AO19,AM19*(1+EarningsRate))</f>
        <v>10784.037461373731</v>
      </c>
      <c r="AO19" s="29">
        <f>'FF Deposit'!AO19+IF(Components!AP19&gt;0,AN19-Components!AP19,AN19*(1+EarningsRate))</f>
        <v>12457.048501827665</v>
      </c>
      <c r="AP19" s="53"/>
    </row>
    <row r="20" spans="1:42" s="1" customFormat="1">
      <c r="A20" s="220" t="str">
        <f>Components!B20</f>
        <v>Club HVAC</v>
      </c>
      <c r="B20" s="220" t="str">
        <f>Components!C20</f>
        <v>Boiler Unit #1 Rendezvous</v>
      </c>
      <c r="C20" s="211"/>
      <c r="D20" s="211"/>
      <c r="E20" s="82">
        <f>AnalysisYear-Components!I20-Components!J20</f>
        <v>8</v>
      </c>
      <c r="F20" s="82">
        <f>IF(H20&lt;0,Components!K20-MOD(AnalysisYear-Components!I20-Components!J20,Components!K20),AnalysisYear-Components!I20-Components!J20)</f>
        <v>8</v>
      </c>
      <c r="G20" s="11">
        <f>ROUND(Components!H20*IF(H20&lt;0,((1+InflationRate)^F20),((1+InflationRate)^H20)),0)</f>
        <v>41884</v>
      </c>
      <c r="H20" s="82">
        <f>IF(E20&gt;=0,Components!K20-E20,E20)</f>
        <v>7</v>
      </c>
      <c r="I20" s="82"/>
      <c r="J20" s="211"/>
      <c r="K20" s="29">
        <f>IF($H20&gt;0,FV(EarningsRate,F20,-'FF Deposit'!L20,1),Components!$H20)</f>
        <v>20709.756408149482</v>
      </c>
      <c r="L20" s="29">
        <f>'FF Deposit'!L20+IF(Components!M20&gt;0,K20-Components!M20,K20*(1+EarningsRate))</f>
        <v>23549.17575021314</v>
      </c>
      <c r="M20" s="29">
        <f>'FF Deposit'!M20+IF(Components!N20&gt;0,L20-Components!N20,L20*(1+EarningsRate))</f>
        <v>26448.222898460135</v>
      </c>
      <c r="N20" s="29">
        <f>'FF Deposit'!N20+IF(Components!O20&gt;0,M20-Components!O20,M20*(1+EarningsRate))</f>
        <v>29408.150036820316</v>
      </c>
      <c r="O20" s="29">
        <f>'FF Deposit'!O20+IF(Components!P20&gt;0,N20-Components!P20,N20*(1+EarningsRate))</f>
        <v>32430.235645086061</v>
      </c>
      <c r="P20" s="29">
        <f>'FF Deposit'!P20+IF(Components!Q20&gt;0,O20-Components!Q20,O20*(1+EarningsRate))</f>
        <v>35515.785051125386</v>
      </c>
      <c r="Q20" s="29">
        <f>'FF Deposit'!Q20+IF(Components!R20&gt;0,P20-Components!R20,P20*(1+EarningsRate))</f>
        <v>38666.130994691535</v>
      </c>
      <c r="R20" s="29">
        <f>'FF Deposit'!R20+IF(Components!S20&gt;0,Q20-Components!S20,Q20*(1+EarningsRate))</f>
        <v>41882.634203072579</v>
      </c>
      <c r="S20" s="29">
        <f>'FF Deposit'!S20+IF(Components!T20&gt;0,R20-Components!T20,R20*(1+EarningsRate))</f>
        <v>4027.0346879593394</v>
      </c>
      <c r="T20" s="29">
        <f>'FF Deposit'!T20+IF(Components!U20&gt;0,S20-Components!U20,S20*(1+EarningsRate))</f>
        <v>8140.0029012932446</v>
      </c>
      <c r="U20" s="29">
        <f>'FF Deposit'!U20+IF(Components!V20&gt;0,T20-Components!V20,T20*(1+EarningsRate))</f>
        <v>12339.343447107163</v>
      </c>
      <c r="V20" s="29">
        <f>'FF Deposit'!V20+IF(Components!W20&gt;0,U20-Components!W20,U20*(1+EarningsRate))</f>
        <v>16626.870144383171</v>
      </c>
      <c r="W20" s="29">
        <f>'FF Deposit'!W20+IF(Components!X20&gt;0,V20-Components!X20,V20*(1+EarningsRate))</f>
        <v>21004.434902301975</v>
      </c>
      <c r="X20" s="29">
        <f>'FF Deposit'!X20+IF(Components!Y20&gt;0,W20-Components!Y20,W20*(1+EarningsRate))</f>
        <v>25473.928520137073</v>
      </c>
      <c r="Y20" s="29">
        <f>'FF Deposit'!Y20+IF(Components!Z20&gt;0,X20-Components!Z20,X20*(1+EarningsRate))</f>
        <v>30037.28150394671</v>
      </c>
      <c r="Z20" s="29">
        <f>'FF Deposit'!Z20+IF(Components!AA20&gt;0,Y20-Components!AA20,Y20*(1+EarningsRate))</f>
        <v>34696.464900416351</v>
      </c>
      <c r="AA20" s="29">
        <f>'FF Deposit'!AA20+IF(Components!AB20&gt;0,Z20-Components!AB20,Z20*(1+EarningsRate))</f>
        <v>39453.491148211855</v>
      </c>
      <c r="AB20" s="29">
        <f>'FF Deposit'!AB20+IF(Components!AC20&gt;0,AA20-Components!AC20,AA20*(1+EarningsRate))</f>
        <v>44310.414947211066</v>
      </c>
      <c r="AC20" s="29">
        <f>'FF Deposit'!AC20+IF(Components!AD20&gt;0,AB20-Components!AD20,AB20*(1+EarningsRate))</f>
        <v>49269.334145989254</v>
      </c>
      <c r="AD20" s="29">
        <f>'FF Deposit'!AD20+IF(Components!AE20&gt;0,AC20-Components!AE20,AC20*(1+EarningsRate))</f>
        <v>54332.390647941786</v>
      </c>
      <c r="AE20" s="29">
        <f>'FF Deposit'!AE20+IF(Components!AF20&gt;0,AD20-Components!AF20,AD20*(1+EarningsRate))</f>
        <v>59501.771336435319</v>
      </c>
      <c r="AF20" s="29">
        <f>'FF Deposit'!AF20+IF(Components!AG20&gt;0,AE20-Components!AG20,AE20*(1+EarningsRate))</f>
        <v>64779.709019387221</v>
      </c>
      <c r="AG20" s="29">
        <f>'FF Deposit'!AG20+IF(Components!AH20&gt;0,AF20-Components!AH20,AF20*(1+EarningsRate))</f>
        <v>70168.483393681105</v>
      </c>
      <c r="AH20" s="29">
        <f>'FF Deposit'!AH20+IF(Components!AI20&gt;0,AG20-Components!AI20,AG20*(1+EarningsRate))</f>
        <v>6747.4295789667494</v>
      </c>
      <c r="AI20" s="29">
        <f>'FF Deposit'!AI20+IF(Components!AJ20&gt;0,AH20-Components!AJ20,AH20*(1+EarningsRate))</f>
        <v>13638.071785410695</v>
      </c>
      <c r="AJ20" s="29">
        <f>'FF Deposit'!AJ20+IF(Components!AK20&gt;0,AI20-Components!AK20,AI20*(1+EarningsRate))</f>
        <v>20673.417478189964</v>
      </c>
      <c r="AK20" s="29">
        <f>'FF Deposit'!AK20+IF(Components!AL20&gt;0,AJ20-Components!AL20,AJ20*(1+EarningsRate))</f>
        <v>27856.505430517595</v>
      </c>
      <c r="AL20" s="29">
        <f>'FF Deposit'!AL20+IF(Components!AM20&gt;0,AK20-Components!AM20,AK20*(1+EarningsRate))</f>
        <v>35190.438229844105</v>
      </c>
      <c r="AM20" s="29">
        <f>'FF Deposit'!AM20+IF(Components!AN20&gt;0,AL20-Components!AN20,AL20*(1+EarningsRate))</f>
        <v>42678.383617956475</v>
      </c>
      <c r="AN20" s="29">
        <f>'FF Deposit'!AN20+IF(Components!AO20&gt;0,AM20-Components!AO20,AM20*(1+EarningsRate))</f>
        <v>50323.575859219207</v>
      </c>
      <c r="AO20" s="29">
        <f>'FF Deposit'!AO20+IF(Components!AP20&gt;0,AN20-Components!AP20,AN20*(1+EarningsRate))</f>
        <v>58129.317137548453</v>
      </c>
      <c r="AP20" s="53"/>
    </row>
    <row r="21" spans="1:42" s="1" customFormat="1">
      <c r="A21" s="220" t="str">
        <f>Components!B21</f>
        <v>Club HVAC</v>
      </c>
      <c r="B21" s="220" t="str">
        <f>Components!C21</f>
        <v>Boiler Unit #2 Clubhouse</v>
      </c>
      <c r="C21" s="211"/>
      <c r="D21" s="211"/>
      <c r="E21" s="82">
        <f>AnalysisYear-Components!I21-Components!J21</f>
        <v>8</v>
      </c>
      <c r="F21" s="82">
        <f>IF(H21&lt;0,Components!K21-MOD(AnalysisYear-Components!I21-Components!J21,Components!K21),AnalysisYear-Components!I21-Components!J21)</f>
        <v>8</v>
      </c>
      <c r="G21" s="11">
        <f>ROUND(Components!H21*IF(H21&lt;0,((1+InflationRate)^F21),((1+InflationRate)^H21)),0)</f>
        <v>41884</v>
      </c>
      <c r="H21" s="82">
        <f>IF(E21&gt;=0,Components!K21-E21,E21)</f>
        <v>7</v>
      </c>
      <c r="I21" s="82"/>
      <c r="J21" s="211"/>
      <c r="K21" s="29">
        <f>IF($H21&gt;0,FV(EarningsRate,F21,-'FF Deposit'!L21,1),Components!$H21)</f>
        <v>20709.756408149482</v>
      </c>
      <c r="L21" s="29">
        <f>'FF Deposit'!L21+IF(Components!M21&gt;0,K21-Components!M21,K21*(1+EarningsRate))</f>
        <v>23549.17575021314</v>
      </c>
      <c r="M21" s="29">
        <f>'FF Deposit'!M21+IF(Components!N21&gt;0,L21-Components!N21,L21*(1+EarningsRate))</f>
        <v>26448.222898460135</v>
      </c>
      <c r="N21" s="29">
        <f>'FF Deposit'!N21+IF(Components!O21&gt;0,M21-Components!O21,M21*(1+EarningsRate))</f>
        <v>29408.150036820316</v>
      </c>
      <c r="O21" s="29">
        <f>'FF Deposit'!O21+IF(Components!P21&gt;0,N21-Components!P21,N21*(1+EarningsRate))</f>
        <v>32430.235645086061</v>
      </c>
      <c r="P21" s="29">
        <f>'FF Deposit'!P21+IF(Components!Q21&gt;0,O21-Components!Q21,O21*(1+EarningsRate))</f>
        <v>35515.785051125386</v>
      </c>
      <c r="Q21" s="29">
        <f>'FF Deposit'!Q21+IF(Components!R21&gt;0,P21-Components!R21,P21*(1+EarningsRate))</f>
        <v>38666.130994691535</v>
      </c>
      <c r="R21" s="29">
        <f>'FF Deposit'!R21+IF(Components!S21&gt;0,Q21-Components!S21,Q21*(1+EarningsRate))</f>
        <v>41882.634203072579</v>
      </c>
      <c r="S21" s="29">
        <f>'FF Deposit'!S21+IF(Components!T21&gt;0,R21-Components!T21,R21*(1+EarningsRate))</f>
        <v>4027.0346879593394</v>
      </c>
      <c r="T21" s="29">
        <f>'FF Deposit'!T21+IF(Components!U21&gt;0,S21-Components!U21,S21*(1+EarningsRate))</f>
        <v>8140.0029012932446</v>
      </c>
      <c r="U21" s="29">
        <f>'FF Deposit'!U21+IF(Components!V21&gt;0,T21-Components!V21,T21*(1+EarningsRate))</f>
        <v>12339.343447107163</v>
      </c>
      <c r="V21" s="29">
        <f>'FF Deposit'!V21+IF(Components!W21&gt;0,U21-Components!W21,U21*(1+EarningsRate))</f>
        <v>16626.870144383171</v>
      </c>
      <c r="W21" s="29">
        <f>'FF Deposit'!W21+IF(Components!X21&gt;0,V21-Components!X21,V21*(1+EarningsRate))</f>
        <v>21004.434902301975</v>
      </c>
      <c r="X21" s="29">
        <f>'FF Deposit'!X21+IF(Components!Y21&gt;0,W21-Components!Y21,W21*(1+EarningsRate))</f>
        <v>25473.928520137073</v>
      </c>
      <c r="Y21" s="29">
        <f>'FF Deposit'!Y21+IF(Components!Z21&gt;0,X21-Components!Z21,X21*(1+EarningsRate))</f>
        <v>30037.28150394671</v>
      </c>
      <c r="Z21" s="29">
        <f>'FF Deposit'!Z21+IF(Components!AA21&gt;0,Y21-Components!AA21,Y21*(1+EarningsRate))</f>
        <v>34696.464900416351</v>
      </c>
      <c r="AA21" s="29">
        <f>'FF Deposit'!AA21+IF(Components!AB21&gt;0,Z21-Components!AB21,Z21*(1+EarningsRate))</f>
        <v>39453.491148211855</v>
      </c>
      <c r="AB21" s="29">
        <f>'FF Deposit'!AB21+IF(Components!AC21&gt;0,AA21-Components!AC21,AA21*(1+EarningsRate))</f>
        <v>44310.414947211066</v>
      </c>
      <c r="AC21" s="29">
        <f>'FF Deposit'!AC21+IF(Components!AD21&gt;0,AB21-Components!AD21,AB21*(1+EarningsRate))</f>
        <v>49269.334145989254</v>
      </c>
      <c r="AD21" s="29">
        <f>'FF Deposit'!AD21+IF(Components!AE21&gt;0,AC21-Components!AE21,AC21*(1+EarningsRate))</f>
        <v>54332.390647941786</v>
      </c>
      <c r="AE21" s="29">
        <f>'FF Deposit'!AE21+IF(Components!AF21&gt;0,AD21-Components!AF21,AD21*(1+EarningsRate))</f>
        <v>59501.771336435319</v>
      </c>
      <c r="AF21" s="29">
        <f>'FF Deposit'!AF21+IF(Components!AG21&gt;0,AE21-Components!AG21,AE21*(1+EarningsRate))</f>
        <v>64779.709019387221</v>
      </c>
      <c r="AG21" s="29">
        <f>'FF Deposit'!AG21+IF(Components!AH21&gt;0,AF21-Components!AH21,AF21*(1+EarningsRate))</f>
        <v>70168.483393681105</v>
      </c>
      <c r="AH21" s="29">
        <f>'FF Deposit'!AH21+IF(Components!AI21&gt;0,AG21-Components!AI21,AG21*(1+EarningsRate))</f>
        <v>6747.4295789667494</v>
      </c>
      <c r="AI21" s="29">
        <f>'FF Deposit'!AI21+IF(Components!AJ21&gt;0,AH21-Components!AJ21,AH21*(1+EarningsRate))</f>
        <v>13638.071785410695</v>
      </c>
      <c r="AJ21" s="29">
        <f>'FF Deposit'!AJ21+IF(Components!AK21&gt;0,AI21-Components!AK21,AI21*(1+EarningsRate))</f>
        <v>20673.417478189964</v>
      </c>
      <c r="AK21" s="29">
        <f>'FF Deposit'!AK21+IF(Components!AL21&gt;0,AJ21-Components!AL21,AJ21*(1+EarningsRate))</f>
        <v>27856.505430517595</v>
      </c>
      <c r="AL21" s="29">
        <f>'FF Deposit'!AL21+IF(Components!AM21&gt;0,AK21-Components!AM21,AK21*(1+EarningsRate))</f>
        <v>35190.438229844105</v>
      </c>
      <c r="AM21" s="29">
        <f>'FF Deposit'!AM21+IF(Components!AN21&gt;0,AL21-Components!AN21,AL21*(1+EarningsRate))</f>
        <v>42678.383617956475</v>
      </c>
      <c r="AN21" s="29">
        <f>'FF Deposit'!AN21+IF(Components!AO21&gt;0,AM21-Components!AO21,AM21*(1+EarningsRate))</f>
        <v>50323.575859219207</v>
      </c>
      <c r="AO21" s="29">
        <f>'FF Deposit'!AO21+IF(Components!AP21&gt;0,AN21-Components!AP21,AN21*(1+EarningsRate))</f>
        <v>58129.317137548453</v>
      </c>
      <c r="AP21" s="53"/>
    </row>
    <row r="22" spans="1:42" s="1" customFormat="1">
      <c r="A22" s="220" t="str">
        <f>Components!B22</f>
        <v>Club HVAC</v>
      </c>
      <c r="B22" s="220" t="str">
        <f>Components!C22</f>
        <v>Return Air Unit - #1</v>
      </c>
      <c r="C22" s="211"/>
      <c r="D22" s="211"/>
      <c r="E22" s="82">
        <f>AnalysisYear-Components!I22-Components!J22</f>
        <v>8</v>
      </c>
      <c r="F22" s="82">
        <f>IF(H22&lt;0,Components!K22-MOD(AnalysisYear-Components!I22-Components!J22,Components!K22),AnalysisYear-Components!I22-Components!J22)</f>
        <v>8</v>
      </c>
      <c r="G22" s="11">
        <f>ROUND(Components!H22*IF(H22&lt;0,((1+InflationRate)^F22),((1+InflationRate)^H22)),0)</f>
        <v>124395</v>
      </c>
      <c r="H22" s="82">
        <f>IF(E22&gt;=0,Components!K22-E22,E22)</f>
        <v>7</v>
      </c>
      <c r="I22" s="82"/>
      <c r="J22" s="211"/>
      <c r="K22" s="29">
        <f>IF($H22&gt;0,FV(EarningsRate,F22,-'FF Deposit'!L22,1),Components!$H22)</f>
        <v>61510.065514742048</v>
      </c>
      <c r="L22" s="29">
        <f>'FF Deposit'!L22+IF(Components!M22&gt;0,K22-Components!M22,K22*(1+EarningsRate))</f>
        <v>69943.157273031393</v>
      </c>
      <c r="M22" s="29">
        <f>'FF Deposit'!M22+IF(Components!N22&gt;0,L22-Components!N22,L22*(1+EarningsRate))</f>
        <v>78553.343958244805</v>
      </c>
      <c r="N22" s="29">
        <f>'FF Deposit'!N22+IF(Components!O22&gt;0,M22-Components!O22,M22*(1+EarningsRate))</f>
        <v>87344.344563847699</v>
      </c>
      <c r="O22" s="29">
        <f>'FF Deposit'!O22+IF(Components!P22&gt;0,N22-Components!P22,N22*(1+EarningsRate))</f>
        <v>96319.956182168258</v>
      </c>
      <c r="P22" s="29">
        <f>'FF Deposit'!P22+IF(Components!Q22&gt;0,O22-Components!Q22,O22*(1+EarningsRate))</f>
        <v>105484.05564447354</v>
      </c>
      <c r="Q22" s="29">
        <f>'FF Deposit'!Q22+IF(Components!R22&gt;0,P22-Components!R22,P22*(1+EarningsRate))</f>
        <v>114840.60119548724</v>
      </c>
      <c r="R22" s="29">
        <f>'FF Deposit'!R22+IF(Components!S22&gt;0,Q22-Components!S22,Q22*(1+EarningsRate))</f>
        <v>124393.63420307223</v>
      </c>
      <c r="S22" s="29">
        <f>'FF Deposit'!S22+IF(Components!T22&gt;0,R22-Components!T22,R22*(1+EarningsRate))</f>
        <v>11962.937476816105</v>
      </c>
      <c r="T22" s="29">
        <f>'FF Deposit'!T22+IF(Components!U22&gt;0,S22-Components!U22,S22*(1+EarningsRate))</f>
        <v>24178.462437573118</v>
      </c>
      <c r="U22" s="29">
        <f>'FF Deposit'!U22+IF(Components!V22&gt;0,T22-Components!V22,T22*(1+EarningsRate))</f>
        <v>36650.513422506025</v>
      </c>
      <c r="V22" s="29">
        <f>'FF Deposit'!V22+IF(Components!W22&gt;0,U22-Components!W22,U22*(1+EarningsRate))</f>
        <v>49384.477478122528</v>
      </c>
      <c r="W22" s="29">
        <f>'FF Deposit'!W22+IF(Components!X22&gt;0,V22-Components!X22,V22*(1+EarningsRate))</f>
        <v>62385.854778906971</v>
      </c>
      <c r="X22" s="29">
        <f>'FF Deposit'!X22+IF(Components!Y22&gt;0,W22-Components!Y22,W22*(1+EarningsRate))</f>
        <v>75660.261003007879</v>
      </c>
      <c r="Y22" s="29">
        <f>'FF Deposit'!Y22+IF(Components!Z22&gt;0,X22-Components!Z22,X22*(1+EarningsRate))</f>
        <v>89213.429757814913</v>
      </c>
      <c r="Z22" s="29">
        <f>'FF Deposit'!Z22+IF(Components!AA22&gt;0,Y22-Components!AA22,Y22*(1+EarningsRate))</f>
        <v>103051.21505647289</v>
      </c>
      <c r="AA22" s="29">
        <f>'FF Deposit'!AA22+IF(Components!AB22&gt;0,Z22-Components!AB22,Z22*(1+EarningsRate))</f>
        <v>117179.5938464027</v>
      </c>
      <c r="AB22" s="29">
        <f>'FF Deposit'!AB22+IF(Components!AC22&gt;0,AA22-Components!AC22,AA22*(1+EarningsRate))</f>
        <v>131604.66859092101</v>
      </c>
      <c r="AC22" s="29">
        <f>'FF Deposit'!AC22+IF(Components!AD22&gt;0,AB22-Components!AD22,AB22*(1+EarningsRate))</f>
        <v>146332.6699050742</v>
      </c>
      <c r="AD22" s="29">
        <f>'FF Deposit'!AD22+IF(Components!AE22&gt;0,AC22-Components!AE22,AC22*(1+EarningsRate))</f>
        <v>161369.95924682461</v>
      </c>
      <c r="AE22" s="29">
        <f>'FF Deposit'!AE22+IF(Components!AF22&gt;0,AD22-Components!AF22,AD22*(1+EarningsRate))</f>
        <v>176723.03166475179</v>
      </c>
      <c r="AF22" s="29">
        <f>'FF Deposit'!AF22+IF(Components!AG22&gt;0,AE22-Components!AG22,AE22*(1+EarningsRate))</f>
        <v>192398.51860345542</v>
      </c>
      <c r="AG22" s="29">
        <f>'FF Deposit'!AG22+IF(Components!AH22&gt;0,AF22-Components!AH22,AF22*(1+EarningsRate))</f>
        <v>208403.19076787183</v>
      </c>
      <c r="AH22" s="29">
        <f>'FF Deposit'!AH22+IF(Components!AI22&gt;0,AG22-Components!AI22,AG22*(1+EarningsRate))</f>
        <v>20043.474376226815</v>
      </c>
      <c r="AI22" s="29">
        <f>'FF Deposit'!AI22+IF(Components!AJ22&gt;0,AH22-Components!AJ22,AH22*(1+EarningsRate))</f>
        <v>40508.670946482569</v>
      </c>
      <c r="AJ22" s="29">
        <f>'FF Deposit'!AJ22+IF(Components!AK22&gt;0,AI22-Components!AK22,AI22*(1+EarningsRate))</f>
        <v>61403.636644713682</v>
      </c>
      <c r="AK22" s="29">
        <f>'FF Deposit'!AK22+IF(Components!AL22&gt;0,AJ22-Components!AL22,AJ22*(1+EarningsRate))</f>
        <v>82737.396622607659</v>
      </c>
      <c r="AL22" s="29">
        <f>'FF Deposit'!AL22+IF(Components!AM22&gt;0,AK22-Components!AM22,AK22*(1+EarningsRate))</f>
        <v>104519.16556003741</v>
      </c>
      <c r="AM22" s="29">
        <f>'FF Deposit'!AM22+IF(Components!AN22&gt;0,AL22-Components!AN22,AL22*(1+EarningsRate))</f>
        <v>126758.35164515318</v>
      </c>
      <c r="AN22" s="29">
        <f>'FF Deposit'!AN22+IF(Components!AO22&gt;0,AM22-Components!AO22,AM22*(1+EarningsRate))</f>
        <v>149464.56063805637</v>
      </c>
      <c r="AO22" s="29">
        <f>'FF Deposit'!AO22+IF(Components!AP22&gt;0,AN22-Components!AP22,AN22*(1+EarningsRate))</f>
        <v>172647.60001981052</v>
      </c>
      <c r="AP22" s="53"/>
    </row>
    <row r="23" spans="1:42" s="1" customFormat="1">
      <c r="A23" s="220" t="str">
        <f>Components!B23</f>
        <v>Club HVAC</v>
      </c>
      <c r="B23" s="220" t="str">
        <f>Components!C23</f>
        <v>Return Air Unit - #2</v>
      </c>
      <c r="C23" s="211"/>
      <c r="D23" s="211"/>
      <c r="E23" s="82">
        <f>AnalysisYear-Components!I23-Components!J23</f>
        <v>8</v>
      </c>
      <c r="F23" s="82">
        <f>IF(H23&lt;0,Components!K23-MOD(AnalysisYear-Components!I23-Components!J23,Components!K23),AnalysisYear-Components!I23-Components!J23)</f>
        <v>8</v>
      </c>
      <c r="G23" s="11">
        <f>ROUND(Components!H23*IF(H23&lt;0,((1+InflationRate)^F23),((1+InflationRate)^H23)),0)</f>
        <v>44879</v>
      </c>
      <c r="H23" s="82">
        <f>IF(E23&gt;=0,Components!K23-E23,E23)</f>
        <v>7</v>
      </c>
      <c r="I23" s="82"/>
      <c r="J23" s="211"/>
      <c r="K23" s="29">
        <f>IF($H23&gt;0,FV(EarningsRate,F23,-'FF Deposit'!L23,1),Components!$H23)</f>
        <v>22190.733802366554</v>
      </c>
      <c r="L23" s="29">
        <f>'FF Deposit'!L23+IF(Components!M23&gt;0,K23-Components!M23,K23*(1+EarningsRate))</f>
        <v>25233.193331636718</v>
      </c>
      <c r="M23" s="29">
        <f>'FF Deposit'!M23+IF(Components!N23&gt;0,L23-Components!N23,L23*(1+EarningsRate))</f>
        <v>28339.544511021555</v>
      </c>
      <c r="N23" s="29">
        <f>'FF Deposit'!N23+IF(Components!O23&gt;0,M23-Components!O23,M23*(1+EarningsRate))</f>
        <v>31511.129065173474</v>
      </c>
      <c r="O23" s="29">
        <f>'FF Deposit'!O23+IF(Components!P23&gt;0,N23-Components!P23,N23*(1+EarningsRate))</f>
        <v>34749.316894962583</v>
      </c>
      <c r="P23" s="29">
        <f>'FF Deposit'!P23+IF(Components!Q23&gt;0,O23-Components!Q23,O23*(1+EarningsRate))</f>
        <v>38055.506669177266</v>
      </c>
      <c r="Q23" s="29">
        <f>'FF Deposit'!Q23+IF(Components!R23&gt;0,P23-Components!R23,P23*(1+EarningsRate))</f>
        <v>41431.126428650459</v>
      </c>
      <c r="R23" s="29">
        <f>'FF Deposit'!R23+IF(Components!S23&gt;0,Q23-Components!S23,Q23*(1+EarningsRate))</f>
        <v>44877.634203072579</v>
      </c>
      <c r="S23" s="29">
        <f>'FF Deposit'!S23+IF(Components!T23&gt;0,R23-Components!T23,R23*(1+EarningsRate))</f>
        <v>4315.0935995302452</v>
      </c>
      <c r="T23" s="29">
        <f>'FF Deposit'!T23+IF(Components!U23&gt;0,S23-Components!U23,S23*(1+EarningsRate))</f>
        <v>8722.1699615780453</v>
      </c>
      <c r="U23" s="29">
        <f>'FF Deposit'!U23+IF(Components!V23&gt;0,T23-Components!V23,T23*(1+EarningsRate))</f>
        <v>13221.79492722885</v>
      </c>
      <c r="V23" s="29">
        <f>'FF Deposit'!V23+IF(Components!W23&gt;0,U23-Components!W23,U23*(1+EarningsRate))</f>
        <v>17815.91201715832</v>
      </c>
      <c r="W23" s="29">
        <f>'FF Deposit'!W23+IF(Components!X23&gt;0,V23-Components!X23,V23*(1+EarningsRate))</f>
        <v>22506.505565976309</v>
      </c>
      <c r="X23" s="29">
        <f>'FF Deposit'!X23+IF(Components!Y23&gt;0,W23-Components!Y23,W23*(1+EarningsRate))</f>
        <v>27295.601579319478</v>
      </c>
      <c r="Y23" s="29">
        <f>'FF Deposit'!Y23+IF(Components!Z23&gt;0,X23-Components!Z23,X23*(1+EarningsRate))</f>
        <v>32185.268608942853</v>
      </c>
      <c r="Z23" s="29">
        <f>'FF Deposit'!Z23+IF(Components!AA23&gt;0,Y23-Components!AA23,Y23*(1+EarningsRate))</f>
        <v>37177.618646188312</v>
      </c>
      <c r="AA23" s="29">
        <f>'FF Deposit'!AA23+IF(Components!AB23&gt;0,Z23-Components!AB23,Z23*(1+EarningsRate))</f>
        <v>42274.808034215923</v>
      </c>
      <c r="AB23" s="29">
        <f>'FF Deposit'!AB23+IF(Components!AC23&gt;0,AA23-Components!AC23,AA23*(1+EarningsRate))</f>
        <v>47479.038399392113</v>
      </c>
      <c r="AC23" s="29">
        <f>'FF Deposit'!AC23+IF(Components!AD23&gt;0,AB23-Components!AD23,AB23*(1+EarningsRate))</f>
        <v>52792.557602237008</v>
      </c>
      <c r="AD23" s="29">
        <f>'FF Deposit'!AD23+IF(Components!AE23&gt;0,AC23-Components!AE23,AC23*(1+EarningsRate))</f>
        <v>58217.660708341646</v>
      </c>
      <c r="AE23" s="29">
        <f>'FF Deposit'!AE23+IF(Components!AF23&gt;0,AD23-Components!AF23,AD23*(1+EarningsRate))</f>
        <v>63756.69097967448</v>
      </c>
      <c r="AF23" s="29">
        <f>'FF Deposit'!AF23+IF(Components!AG23&gt;0,AE23-Components!AG23,AE23*(1+EarningsRate))</f>
        <v>69412.040886705305</v>
      </c>
      <c r="AG23" s="29">
        <f>'FF Deposit'!AG23+IF(Components!AH23&gt;0,AF23-Components!AH23,AF23*(1+EarningsRate))</f>
        <v>75186.153141783769</v>
      </c>
      <c r="AH23" s="29">
        <f>'FF Deposit'!AH23+IF(Components!AI23&gt;0,AG23-Components!AI23,AG23*(1+EarningsRate))</f>
        <v>7229.7302513641744</v>
      </c>
      <c r="AI23" s="29">
        <f>'FF Deposit'!AI23+IF(Components!AJ23&gt;0,AH23-Components!AJ23,AH23*(1+EarningsRate))</f>
        <v>14613.131696223227</v>
      </c>
      <c r="AJ23" s="29">
        <f>'FF Deposit'!AJ23+IF(Components!AK23&gt;0,AI23-Components!AK23,AI23*(1+EarningsRate))</f>
        <v>22151.584571424319</v>
      </c>
      <c r="AK23" s="29">
        <f>'FF Deposit'!AK23+IF(Components!AL23&gt;0,AJ23-Components!AL23,AJ23*(1+EarningsRate))</f>
        <v>29848.344957004632</v>
      </c>
      <c r="AL23" s="29">
        <f>'FF Deposit'!AL23+IF(Components!AM23&gt;0,AK23-Components!AM23,AK23*(1+EarningsRate))</f>
        <v>37706.737310682132</v>
      </c>
      <c r="AM23" s="29">
        <f>'FF Deposit'!AM23+IF(Components!AN23&gt;0,AL23-Components!AN23,AL23*(1+EarningsRate))</f>
        <v>45730.155903786865</v>
      </c>
      <c r="AN23" s="29">
        <f>'FF Deposit'!AN23+IF(Components!AO23&gt;0,AM23-Components!AO23,AM23*(1+EarningsRate))</f>
        <v>53922.066287346795</v>
      </c>
      <c r="AO23" s="29">
        <f>'FF Deposit'!AO23+IF(Components!AP23&gt;0,AN23-Components!AP23,AN23*(1+EarningsRate))</f>
        <v>62286.00678896148</v>
      </c>
      <c r="AP23" s="53"/>
    </row>
    <row r="24" spans="1:42" s="1" customFormat="1">
      <c r="A24" s="220" t="str">
        <f>Components!B24</f>
        <v>Club HVAC</v>
      </c>
      <c r="B24" s="220" t="str">
        <f>Components!C24</f>
        <v>RTU#2 Blower Motor</v>
      </c>
      <c r="C24" s="211"/>
      <c r="D24" s="211"/>
      <c r="E24" s="82">
        <f>AnalysisYear-Components!I24-Components!J24</f>
        <v>8</v>
      </c>
      <c r="F24" s="82">
        <f>IF(H24&lt;0,Components!K24-MOD(AnalysisYear-Components!I24-Components!J24,Components!K24),AnalysisYear-Components!I24-Components!J24)</f>
        <v>8</v>
      </c>
      <c r="G24" s="11">
        <f>ROUND(Components!H24*IF(H24&lt;0,((1+InflationRate)^F24),((1+InflationRate)^H24)),0)</f>
        <v>10473</v>
      </c>
      <c r="H24" s="82">
        <f>IF(E24&gt;=0,Components!K24-E24,E24)</f>
        <v>7</v>
      </c>
      <c r="I24" s="82"/>
      <c r="J24" s="211"/>
      <c r="K24" s="29">
        <f>IF($H24&gt;0,FV(EarningsRate,F24,-'FF Deposit'!L24,1),Components!$H24)</f>
        <v>5177.5424082321542</v>
      </c>
      <c r="L24" s="29">
        <f>'FF Deposit'!L24+IF(Components!M24&gt;0,K24-Components!M24,K24*(1+EarningsRate))</f>
        <v>5887.5142309824514</v>
      </c>
      <c r="M24" s="29">
        <f>'FF Deposit'!M24+IF(Components!N24&gt;0,L24-Components!N24,L24*(1+EarningsRate))</f>
        <v>6612.3954620105051</v>
      </c>
      <c r="N24" s="29">
        <f>'FF Deposit'!N24+IF(Components!O24&gt;0,M24-Components!O24,M24*(1+EarningsRate))</f>
        <v>7352.4991988901475</v>
      </c>
      <c r="O24" s="29">
        <f>'FF Deposit'!O24+IF(Components!P24&gt;0,N24-Components!P24,N24*(1+EarningsRate))</f>
        <v>8108.1451142442638</v>
      </c>
      <c r="P24" s="29">
        <f>'FF Deposit'!P24+IF(Components!Q24&gt;0,O24-Components!Q24,O24*(1+EarningsRate))</f>
        <v>8879.6595938208156</v>
      </c>
      <c r="Q24" s="29">
        <f>'FF Deposit'!Q24+IF(Components!R24&gt;0,P24-Components!R24,P24*(1+EarningsRate))</f>
        <v>9667.3758774684757</v>
      </c>
      <c r="R24" s="29">
        <f>'FF Deposit'!R24+IF(Components!S24&gt;0,Q24-Components!S24,Q24*(1+EarningsRate))</f>
        <v>10471.634203072736</v>
      </c>
      <c r="S24" s="29">
        <f>'FF Deposit'!S24+IF(Components!T24&gt;0,R24-Components!T24,R24*(1+EarningsRate))</f>
        <v>1005.9266841685964</v>
      </c>
      <c r="T24" s="29">
        <f>'FF Deposit'!T24+IF(Components!U24&gt;0,S24-Components!U24,S24*(1+EarningsRate))</f>
        <v>2034.3436256319974</v>
      </c>
      <c r="U24" s="29">
        <f>'FF Deposit'!U24+IF(Components!V24&gt;0,T24-Components!V24,T24*(1+EarningsRate))</f>
        <v>3084.3573228661298</v>
      </c>
      <c r="V24" s="29">
        <f>'FF Deposit'!V24+IF(Components!W24&gt;0,U24-Components!W24,U24*(1+EarningsRate))</f>
        <v>4156.4213077421791</v>
      </c>
      <c r="W24" s="29">
        <f>'FF Deposit'!W24+IF(Components!X24&gt;0,V24-Components!X24,V24*(1+EarningsRate))</f>
        <v>5250.9986363006255</v>
      </c>
      <c r="X24" s="29">
        <f>'FF Deposit'!X24+IF(Components!Y24&gt;0,W24-Components!Y24,W24*(1+EarningsRate))</f>
        <v>6368.5620887587993</v>
      </c>
      <c r="Y24" s="29">
        <f>'FF Deposit'!Y24+IF(Components!Z24&gt;0,X24-Components!Z24,X24*(1+EarningsRate))</f>
        <v>7509.5943737185944</v>
      </c>
      <c r="Z24" s="29">
        <f>'FF Deposit'!Z24+IF(Components!AA24&gt;0,Y24-Components!AA24,Y24*(1+EarningsRate))</f>
        <v>8674.5883366625458</v>
      </c>
      <c r="AA24" s="29">
        <f>'FF Deposit'!AA24+IF(Components!AB24&gt;0,Z24-Components!AB24,Z24*(1+EarningsRate))</f>
        <v>9864.0471728283192</v>
      </c>
      <c r="AB24" s="29">
        <f>'FF Deposit'!AB24+IF(Components!AC24&gt;0,AA24-Components!AC24,AA24*(1+EarningsRate))</f>
        <v>11078.484644553575</v>
      </c>
      <c r="AC24" s="29">
        <f>'FF Deposit'!AC24+IF(Components!AD24&gt;0,AB24-Components!AD24,AB24*(1+EarningsRate))</f>
        <v>12318.42530318506</v>
      </c>
      <c r="AD24" s="29">
        <f>'FF Deposit'!AD24+IF(Components!AE24&gt;0,AC24-Components!AE24,AC24*(1+EarningsRate))</f>
        <v>13584.404715647806</v>
      </c>
      <c r="AE24" s="29">
        <f>'FF Deposit'!AE24+IF(Components!AF24&gt;0,AD24-Components!AF24,AD24*(1+EarningsRate))</f>
        <v>14876.96969577227</v>
      </c>
      <c r="AF24" s="29">
        <f>'FF Deposit'!AF24+IF(Components!AG24&gt;0,AE24-Components!AG24,AE24*(1+EarningsRate))</f>
        <v>16196.678540479348</v>
      </c>
      <c r="AG24" s="29">
        <f>'FF Deposit'!AG24+IF(Components!AH24&gt;0,AF24-Components!AH24,AF24*(1+EarningsRate))</f>
        <v>17544.101270925275</v>
      </c>
      <c r="AH24" s="29">
        <f>'FF Deposit'!AH24+IF(Components!AI24&gt;0,AG24-Components!AI24,AG24*(1+EarningsRate))</f>
        <v>1686.5782670893998</v>
      </c>
      <c r="AI24" s="29">
        <f>'FF Deposit'!AI24+IF(Components!AJ24&gt;0,AH24-Components!AJ24,AH24*(1+EarningsRate))</f>
        <v>3409.4734068624011</v>
      </c>
      <c r="AJ24" s="29">
        <f>'FF Deposit'!AJ24+IF(Components!AK24&gt;0,AI24-Components!AK24,AI24*(1+EarningsRate))</f>
        <v>5168.5493445706352</v>
      </c>
      <c r="AK24" s="29">
        <f>'FF Deposit'!AK24+IF(Components!AL24&gt;0,AJ24-Components!AL24,AJ24*(1+EarningsRate))</f>
        <v>6964.5658769707425</v>
      </c>
      <c r="AL24" s="29">
        <f>'FF Deposit'!AL24+IF(Components!AM24&gt;0,AK24-Components!AM24,AK24*(1+EarningsRate))</f>
        <v>8798.2987565512522</v>
      </c>
      <c r="AM24" s="29">
        <f>'FF Deposit'!AM24+IF(Components!AN24&gt;0,AL24-Components!AN24,AL24*(1+EarningsRate))</f>
        <v>10670.540026602952</v>
      </c>
      <c r="AN24" s="29">
        <f>'FF Deposit'!AN24+IF(Components!AO24&gt;0,AM24-Components!AO24,AM24*(1+EarningsRate))</f>
        <v>12582.098363325738</v>
      </c>
      <c r="AO24" s="29">
        <f>'FF Deposit'!AO24+IF(Components!AP24&gt;0,AN24-Components!AP24,AN24*(1+EarningsRate))</f>
        <v>14533.799425119703</v>
      </c>
      <c r="AP24" s="53"/>
    </row>
    <row r="25" spans="1:42" s="1" customFormat="1">
      <c r="A25" s="220" t="str">
        <f>Components!B25</f>
        <v>Club HVAC</v>
      </c>
      <c r="B25" s="220" t="str">
        <f>Components!C25</f>
        <v>RTU#2 Compressor #2</v>
      </c>
      <c r="C25" s="211"/>
      <c r="D25" s="211"/>
      <c r="E25" s="82">
        <f>AnalysisYear-Components!I25-Components!J25</f>
        <v>8</v>
      </c>
      <c r="F25" s="82">
        <f>IF(H25&lt;0,Components!K25-MOD(AnalysisYear-Components!I25-Components!J25,Components!K25),AnalysisYear-Components!I25-Components!J25)</f>
        <v>8</v>
      </c>
      <c r="G25" s="11">
        <f>ROUND(Components!H25*IF(H25&lt;0,((1+InflationRate)^F25),((1+InflationRate)^H25)),0)</f>
        <v>11795</v>
      </c>
      <c r="H25" s="82">
        <f>IF(E25&gt;=0,Components!K25-E25,E25)</f>
        <v>7</v>
      </c>
      <c r="I25" s="82"/>
      <c r="J25" s="211"/>
      <c r="K25" s="29">
        <f>IF($H25&gt;0,FV(EarningsRate,F25,-'FF Deposit'!L25,1),Components!$H25)</f>
        <v>5831.2492914224595</v>
      </c>
      <c r="L25" s="29">
        <f>'FF Deposit'!L25+IF(Components!M25&gt;0,K25-Components!M25,K25*(1+EarningsRate))</f>
        <v>6630.843527357064</v>
      </c>
      <c r="M25" s="29">
        <f>'FF Deposit'!M25+IF(Components!N25&gt;0,L25-Components!N25,L25*(1+EarningsRate))</f>
        <v>7447.2292422462951</v>
      </c>
      <c r="N25" s="29">
        <f>'FF Deposit'!N25+IF(Components!O25&gt;0,M25-Components!O25,M25*(1+EarningsRate))</f>
        <v>8280.7590571481996</v>
      </c>
      <c r="O25" s="29">
        <f>'FF Deposit'!O25+IF(Components!P25&gt;0,N25-Components!P25,N25*(1+EarningsRate))</f>
        <v>9131.7929981630441</v>
      </c>
      <c r="P25" s="29">
        <f>'FF Deposit'!P25+IF(Components!Q25&gt;0,O25-Components!Q25,O25*(1+EarningsRate))</f>
        <v>10000.698651939201</v>
      </c>
      <c r="Q25" s="29">
        <f>'FF Deposit'!Q25+IF(Components!R25&gt;0,P25-Components!R25,P25*(1+EarningsRate))</f>
        <v>10887.851324444657</v>
      </c>
      <c r="R25" s="29">
        <f>'FF Deposit'!R25+IF(Components!S25&gt;0,Q25-Components!S25,Q25*(1+EarningsRate))</f>
        <v>11793.634203072726</v>
      </c>
      <c r="S25" s="29">
        <f>'FF Deposit'!S25+IF(Components!T25&gt;0,R25-Components!T25,R25*(1+EarningsRate))</f>
        <v>1133.0765609955452</v>
      </c>
      <c r="T25" s="29">
        <f>'FF Deposit'!T25+IF(Components!U25&gt;0,S25-Components!U25,S25*(1+EarningsRate))</f>
        <v>2291.3135266992704</v>
      </c>
      <c r="U25" s="29">
        <f>'FF Deposit'!U25+IF(Components!V25&gt;0,T25-Components!V25,T25*(1+EarningsRate))</f>
        <v>3473.8734686827734</v>
      </c>
      <c r="V25" s="29">
        <f>'FF Deposit'!V25+IF(Components!W25&gt;0,U25-Components!W25,U25*(1+EarningsRate))</f>
        <v>4681.2671694479304</v>
      </c>
      <c r="W25" s="29">
        <f>'FF Deposit'!W25+IF(Components!X25&gt;0,V25-Components!X25,V25*(1+EarningsRate))</f>
        <v>5914.0161379291549</v>
      </c>
      <c r="X25" s="29">
        <f>'FF Deposit'!X25+IF(Components!Y25&gt;0,W25-Components!Y25,W25*(1+EarningsRate))</f>
        <v>7172.6528347484855</v>
      </c>
      <c r="Y25" s="29">
        <f>'FF Deposit'!Y25+IF(Components!Z25&gt;0,X25-Components!Z25,X25*(1+EarningsRate))</f>
        <v>8457.7209022010211</v>
      </c>
      <c r="Z25" s="29">
        <f>'FF Deposit'!Z25+IF(Components!AA25&gt;0,Y25-Components!AA25,Y25*(1+EarningsRate))</f>
        <v>9769.7753990700603</v>
      </c>
      <c r="AA25" s="29">
        <f>'FF Deposit'!AA25+IF(Components!AB25&gt;0,Z25-Components!AB25,Z25*(1+EarningsRate))</f>
        <v>11109.38304037335</v>
      </c>
      <c r="AB25" s="29">
        <f>'FF Deposit'!AB25+IF(Components!AC25&gt;0,AA25-Components!AC25,AA25*(1+EarningsRate))</f>
        <v>12477.122442144007</v>
      </c>
      <c r="AC25" s="29">
        <f>'FF Deposit'!AC25+IF(Components!AD25&gt;0,AB25-Components!AD25,AB25*(1+EarningsRate))</f>
        <v>13873.58437135185</v>
      </c>
      <c r="AD25" s="29">
        <f>'FF Deposit'!AD25+IF(Components!AE25&gt;0,AC25-Components!AE25,AC25*(1+EarningsRate))</f>
        <v>15299.372001073056</v>
      </c>
      <c r="AE25" s="29">
        <f>'FF Deposit'!AE25+IF(Components!AF25&gt;0,AD25-Components!AF25,AD25*(1+EarningsRate))</f>
        <v>16755.101171018407</v>
      </c>
      <c r="AF25" s="29">
        <f>'FF Deposit'!AF25+IF(Components!AG25&gt;0,AE25-Components!AG25,AE25*(1+EarningsRate))</f>
        <v>18241.400653532612</v>
      </c>
      <c r="AG25" s="29">
        <f>'FF Deposit'!AG25+IF(Components!AH25&gt;0,AF25-Components!AH25,AF25*(1+EarningsRate))</f>
        <v>19758.912425179617</v>
      </c>
      <c r="AH25" s="29">
        <f>'FF Deposit'!AH25+IF(Components!AI25&gt;0,AG25-Components!AI25,AG25*(1+EarningsRate))</f>
        <v>1899.4279819880007</v>
      </c>
      <c r="AI25" s="29">
        <f>'FF Deposit'!AI25+IF(Components!AJ25&gt;0,AH25-Components!AJ25,AH25*(1+EarningsRate))</f>
        <v>3839.8315264181329</v>
      </c>
      <c r="AJ25" s="29">
        <f>'FF Deposit'!AJ25+IF(Components!AK25&gt;0,AI25-Components!AK25,AI25*(1+EarningsRate))</f>
        <v>5820.9835452812977</v>
      </c>
      <c r="AK25" s="29">
        <f>'FF Deposit'!AK25+IF(Components!AL25&gt;0,AJ25-Components!AL25,AJ25*(1+EarningsRate))</f>
        <v>7843.7397565405881</v>
      </c>
      <c r="AL25" s="29">
        <f>'FF Deposit'!AL25+IF(Components!AM25&gt;0,AK25-Components!AM25,AK25*(1+EarningsRate))</f>
        <v>9908.9738482363246</v>
      </c>
      <c r="AM25" s="29">
        <f>'FF Deposit'!AM25+IF(Components!AN25&gt;0,AL25-Components!AN25,AL25*(1+EarningsRate))</f>
        <v>12017.577855857671</v>
      </c>
      <c r="AN25" s="29">
        <f>'FF Deposit'!AN25+IF(Components!AO25&gt;0,AM25-Components!AO25,AM25*(1+EarningsRate))</f>
        <v>14170.462547639067</v>
      </c>
      <c r="AO25" s="29">
        <f>'FF Deposit'!AO25+IF(Components!AP25&gt;0,AN25-Components!AP25,AN25*(1+EarningsRate))</f>
        <v>16368.557817947871</v>
      </c>
      <c r="AP25" s="53"/>
    </row>
    <row r="26" spans="1:42" s="1" customFormat="1">
      <c r="A26" s="220" t="str">
        <f>Components!B26</f>
        <v>Club HVAC</v>
      </c>
      <c r="B26" s="220" t="str">
        <f>Components!C26</f>
        <v>RTU#2 Evaporitive Coil</v>
      </c>
      <c r="C26" s="211"/>
      <c r="D26" s="211"/>
      <c r="E26" s="82">
        <f>AnalysisYear-Components!I26-Components!J26</f>
        <v>8</v>
      </c>
      <c r="F26" s="82">
        <f>IF(H26&lt;0,Components!K26-MOD(AnalysisYear-Components!I26-Components!J26,Components!K26),AnalysisYear-Components!I26-Components!J26)</f>
        <v>8</v>
      </c>
      <c r="G26" s="11">
        <f>ROUND(Components!H26*IF(H26&lt;0,((1+InflationRate)^F26),((1+InflationRate)^H26)),0)</f>
        <v>11566</v>
      </c>
      <c r="H26" s="82">
        <f>IF(E26&gt;=0,Components!K26-E26,E26)</f>
        <v>7</v>
      </c>
      <c r="I26" s="82"/>
      <c r="J26" s="211"/>
      <c r="K26" s="29">
        <f>IF($H26&gt;0,FV(EarningsRate,F26,-'FF Deposit'!L26,1),Components!$H26)</f>
        <v>5718.0126225491013</v>
      </c>
      <c r="L26" s="29">
        <f>'FF Deposit'!L26+IF(Components!M26&gt;0,K26-Components!M26,K26*(1+EarningsRate))</f>
        <v>6502.0822498458801</v>
      </c>
      <c r="M26" s="29">
        <f>'FF Deposit'!M26+IF(Components!N26&gt;0,L26-Components!N26,L26*(1+EarningsRate))</f>
        <v>7302.6173393158906</v>
      </c>
      <c r="N26" s="29">
        <f>'FF Deposit'!N26+IF(Components!O26&gt;0,M26-Components!O26,M26*(1+EarningsRate))</f>
        <v>8119.9636656647717</v>
      </c>
      <c r="O26" s="29">
        <f>'FF Deposit'!O26+IF(Components!P26&gt;0,N26-Components!P26,N26*(1+EarningsRate))</f>
        <v>8954.474264866978</v>
      </c>
      <c r="P26" s="29">
        <f>'FF Deposit'!P26+IF(Components!Q26&gt;0,O26-Components!Q26,O26*(1+EarningsRate))</f>
        <v>9806.5095866524316</v>
      </c>
      <c r="Q26" s="29">
        <f>'FF Deposit'!Q26+IF(Components!R26&gt;0,P26-Components!R26,P26*(1+EarningsRate))</f>
        <v>10676.437650195379</v>
      </c>
      <c r="R26" s="29">
        <f>'FF Deposit'!R26+IF(Components!S26&gt;0,Q26-Components!S26,Q26*(1+EarningsRate))</f>
        <v>11564.634203072728</v>
      </c>
      <c r="S26" s="29">
        <f>'FF Deposit'!S26+IF(Components!T26&gt;0,R26-Components!T26,R26*(1+EarningsRate))</f>
        <v>1111.0513554029799</v>
      </c>
      <c r="T26" s="29">
        <f>'FF Deposit'!T26+IF(Components!U26&gt;0,S26-Components!U26,S26*(1+EarningsRate))</f>
        <v>2246.800586196694</v>
      </c>
      <c r="U26" s="29">
        <f>'FF Deposit'!U26+IF(Components!V26&gt;0,T26-Components!V26,T26*(1+EarningsRate))</f>
        <v>3406.400550837076</v>
      </c>
      <c r="V26" s="29">
        <f>'FF Deposit'!V26+IF(Components!W26&gt;0,U26-Components!W26,U26*(1+EarningsRate))</f>
        <v>4590.3521147349056</v>
      </c>
      <c r="W26" s="29">
        <f>'FF Deposit'!W26+IF(Components!X26&gt;0,V26-Components!X26,V26*(1+EarningsRate))</f>
        <v>5799.16666147459</v>
      </c>
      <c r="X26" s="29">
        <f>'FF Deposit'!X26+IF(Components!Y26&gt;0,W26-Components!Y26,W26*(1+EarningsRate))</f>
        <v>7033.3663136958075</v>
      </c>
      <c r="Y26" s="29">
        <f>'FF Deposit'!Y26+IF(Components!Z26&gt;0,X26-Components!Z26,X26*(1+EarningsRate))</f>
        <v>8293.4841586136699</v>
      </c>
      <c r="Z26" s="29">
        <f>'FF Deposit'!Z26+IF(Components!AA26&gt;0,Y26-Components!AA26,Y26*(1+EarningsRate))</f>
        <v>9580.0644782748077</v>
      </c>
      <c r="AA26" s="29">
        <f>'FF Deposit'!AA26+IF(Components!AB26&gt;0,Z26-Components!AB26,Z26*(1+EarningsRate))</f>
        <v>10893.66298464883</v>
      </c>
      <c r="AB26" s="29">
        <f>'FF Deposit'!AB26+IF(Components!AC26&gt;0,AA26-Components!AC26,AA26*(1+EarningsRate))</f>
        <v>12234.847059656708</v>
      </c>
      <c r="AC26" s="29">
        <f>'FF Deposit'!AC26+IF(Components!AD26&gt;0,AB26-Components!AD26,AB26*(1+EarningsRate))</f>
        <v>13604.19600023975</v>
      </c>
      <c r="AD26" s="29">
        <f>'FF Deposit'!AD26+IF(Components!AE26&gt;0,AC26-Components!AE26,AC26*(1+EarningsRate))</f>
        <v>15002.301268575036</v>
      </c>
      <c r="AE26" s="29">
        <f>'FF Deposit'!AE26+IF(Components!AF26&gt;0,AD26-Components!AF26,AD26*(1+EarningsRate))</f>
        <v>16429.766747545364</v>
      </c>
      <c r="AF26" s="29">
        <f>'FF Deposit'!AF26+IF(Components!AG26&gt;0,AE26-Components!AG26,AE26*(1+EarningsRate))</f>
        <v>17887.209001574065</v>
      </c>
      <c r="AG26" s="29">
        <f>'FF Deposit'!AG26+IF(Components!AH26&gt;0,AF26-Components!AH26,AF26*(1+EarningsRate))</f>
        <v>19375.257542937368</v>
      </c>
      <c r="AH26" s="29">
        <f>'FF Deposit'!AH26+IF(Components!AI26&gt;0,AG26-Components!AI26,AG26*(1+EarningsRate))</f>
        <v>1862.8400039049423</v>
      </c>
      <c r="AI26" s="29">
        <f>'FF Deposit'!AI26+IF(Components!AJ26&gt;0,AH26-Components!AJ26,AH26*(1+EarningsRate))</f>
        <v>3765.5421049545198</v>
      </c>
      <c r="AJ26" s="29">
        <f>'FF Deposit'!AJ26+IF(Components!AK26&gt;0,AI26-Components!AK26,AI26*(1+EarningsRate))</f>
        <v>5708.2009501261382</v>
      </c>
      <c r="AK26" s="29">
        <f>'FF Deposit'!AK26+IF(Components!AL26&gt;0,AJ26-Components!AL26,AJ26*(1+EarningsRate))</f>
        <v>7691.6556310463602</v>
      </c>
      <c r="AL26" s="29">
        <f>'FF Deposit'!AL26+IF(Components!AM26&gt;0,AK26-Components!AM26,AK26*(1+EarningsRate))</f>
        <v>9716.7628602659079</v>
      </c>
      <c r="AM26" s="29">
        <f>'FF Deposit'!AM26+IF(Components!AN26&gt;0,AL26-Components!AN26,AL26*(1+EarningsRate))</f>
        <v>11784.397341299065</v>
      </c>
      <c r="AN26" s="29">
        <f>'FF Deposit'!AN26+IF(Components!AO26&gt;0,AM26-Components!AO26,AM26*(1+EarningsRate))</f>
        <v>13895.45214643392</v>
      </c>
      <c r="AO26" s="29">
        <f>'FF Deposit'!AO26+IF(Components!AP26&gt;0,AN26-Components!AP26,AN26*(1+EarningsRate))</f>
        <v>16050.839102476606</v>
      </c>
      <c r="AP26" s="53"/>
    </row>
    <row r="27" spans="1:42" s="1" customFormat="1">
      <c r="A27" s="220" t="str">
        <f>Components!B27</f>
        <v>Club HVAC</v>
      </c>
      <c r="B27" s="220" t="str">
        <f>Components!C27</f>
        <v>RTU#2 Motherboard</v>
      </c>
      <c r="C27" s="211"/>
      <c r="D27" s="211"/>
      <c r="E27" s="82">
        <f>AnalysisYear-Components!I27-Components!J27</f>
        <v>8</v>
      </c>
      <c r="F27" s="82">
        <f>IF(H27&lt;0,Components!K27-MOD(AnalysisYear-Components!I27-Components!J27,Components!K27),AnalysisYear-Components!I27-Components!J27)</f>
        <v>8</v>
      </c>
      <c r="G27" s="11">
        <f>ROUND(Components!H27*IF(H27&lt;0,((1+InflationRate)^F27),((1+InflationRate)^H27)),0)</f>
        <v>8829</v>
      </c>
      <c r="H27" s="82">
        <f>IF(E27&gt;=0,Components!K27-E27,E27)</f>
        <v>7</v>
      </c>
      <c r="I27" s="82"/>
      <c r="J27" s="211"/>
      <c r="K27" s="29">
        <f>IF($H27&gt;0,FV(EarningsRate,F27,-'FF Deposit'!L27,1),Components!$H27)</f>
        <v>4364.6119120408803</v>
      </c>
      <c r="L27" s="29">
        <f>'FF Deposit'!L27+IF(Components!M27&gt;0,K27-Components!M27,K27*(1+EarningsRate))</f>
        <v>4963.1319592427662</v>
      </c>
      <c r="M27" s="29">
        <f>'FF Deposit'!M27+IF(Components!N27&gt;0,L27-Components!N27,L27*(1+EarningsRate))</f>
        <v>5574.220927435892</v>
      </c>
      <c r="N27" s="29">
        <f>'FF Deposit'!N27+IF(Components!O27&gt;0,M27-Components!O27,M27*(1+EarningsRate))</f>
        <v>6198.1427639610729</v>
      </c>
      <c r="O27" s="29">
        <f>'FF Deposit'!O27+IF(Components!P27&gt;0,N27-Components!P27,N27*(1+EarningsRate))</f>
        <v>6835.1669590532829</v>
      </c>
      <c r="P27" s="29">
        <f>'FF Deposit'!P27+IF(Components!Q27&gt;0,O27-Components!Q27,O27*(1+EarningsRate))</f>
        <v>7485.5686622424291</v>
      </c>
      <c r="Q27" s="29">
        <f>'FF Deposit'!Q27+IF(Components!R27&gt;0,P27-Components!R27,P27*(1+EarningsRate))</f>
        <v>8149.6288011985471</v>
      </c>
      <c r="R27" s="29">
        <f>'FF Deposit'!R27+IF(Components!S27&gt;0,Q27-Components!S27,Q27*(1+EarningsRate))</f>
        <v>8827.6342030727428</v>
      </c>
      <c r="S27" s="29">
        <f>'FF Deposit'!S27+IF(Components!T27&gt;0,R27-Components!T27,R27*(1+EarningsRate))</f>
        <v>847.8068676001327</v>
      </c>
      <c r="T27" s="29">
        <f>'FF Deposit'!T27+IF(Components!U27&gt;0,S27-Components!U27,S27*(1+EarningsRate))</f>
        <v>1714.7834763471253</v>
      </c>
      <c r="U27" s="29">
        <f>'FF Deposit'!U27+IF(Components!V27&gt;0,T27-Components!V27,T27*(1+EarningsRate))</f>
        <v>2599.9665938778048</v>
      </c>
      <c r="V27" s="29">
        <f>'FF Deposit'!V27+IF(Components!W27&gt;0,U27-Components!W27,U27*(1+EarningsRate))</f>
        <v>3503.7385568766281</v>
      </c>
      <c r="W27" s="29">
        <f>'FF Deposit'!W27+IF(Components!X27&gt;0,V27-Components!X27,V27*(1+EarningsRate))</f>
        <v>4426.489731098427</v>
      </c>
      <c r="X27" s="29">
        <f>'FF Deposit'!X27+IF(Components!Y27&gt;0,W27-Components!Y27,W27*(1+EarningsRate))</f>
        <v>5368.6186799788838</v>
      </c>
      <c r="Y27" s="29">
        <f>'FF Deposit'!Y27+IF(Components!Z27&gt;0,X27-Components!Z27,X27*(1+EarningsRate))</f>
        <v>6330.53233678583</v>
      </c>
      <c r="Z27" s="29">
        <f>'FF Deposit'!Z27+IF(Components!AA27&gt;0,Y27-Components!AA27,Y27*(1+EarningsRate))</f>
        <v>7312.6461803857219</v>
      </c>
      <c r="AA27" s="29">
        <f>'FF Deposit'!AA27+IF(Components!AB27&gt;0,Z27-Components!AB27,Z27*(1+EarningsRate))</f>
        <v>8315.3844147012114</v>
      </c>
      <c r="AB27" s="29">
        <f>'FF Deposit'!AB27+IF(Components!AC27&gt;0,AA27-Components!AC27,AA27*(1+EarningsRate))</f>
        <v>9339.1801519373257</v>
      </c>
      <c r="AC27" s="29">
        <f>'FF Deposit'!AC27+IF(Components!AD27&gt;0,AB27-Components!AD27,AB27*(1+EarningsRate))</f>
        <v>10384.475599655399</v>
      </c>
      <c r="AD27" s="29">
        <f>'FF Deposit'!AD27+IF(Components!AE27&gt;0,AC27-Components!AE27,AC27*(1+EarningsRate))</f>
        <v>11451.722251775553</v>
      </c>
      <c r="AE27" s="29">
        <f>'FF Deposit'!AE27+IF(Components!AF27&gt;0,AD27-Components!AF27,AD27*(1+EarningsRate))</f>
        <v>12541.381083590228</v>
      </c>
      <c r="AF27" s="29">
        <f>'FF Deposit'!AF27+IF(Components!AG27&gt;0,AE27-Components!AG27,AE27*(1+EarningsRate))</f>
        <v>13653.922750873011</v>
      </c>
      <c r="AG27" s="29">
        <f>'FF Deposit'!AG27+IF(Components!AH27&gt;0,AF27-Components!AH27,AF27*(1+EarningsRate))</f>
        <v>14789.827793168733</v>
      </c>
      <c r="AH27" s="29">
        <f>'FF Deposit'!AH27+IF(Components!AI27&gt;0,AG27-Components!AI27,AG27*(1+EarningsRate))</f>
        <v>1421.4252425995439</v>
      </c>
      <c r="AI27" s="29">
        <f>'FF Deposit'!AI27+IF(Components!AJ27&gt;0,AH27-Components!AJ27,AH27*(1+EarningsRate))</f>
        <v>2873.8726221249444</v>
      </c>
      <c r="AJ27" s="29">
        <f>'FF Deposit'!AJ27+IF(Components!AK27&gt;0,AI27-Components!AK27,AI27*(1+EarningsRate))</f>
        <v>4356.8213966203784</v>
      </c>
      <c r="AK27" s="29">
        <f>'FF Deposit'!AK27+IF(Components!AL27&gt;0,AJ27-Components!AL27,AJ27*(1+EarningsRate))</f>
        <v>5870.9120953802158</v>
      </c>
      <c r="AL27" s="29">
        <f>'FF Deposit'!AL27+IF(Components!AM27&gt;0,AK27-Components!AM27,AK27*(1+EarningsRate))</f>
        <v>7416.7986988140101</v>
      </c>
      <c r="AM27" s="29">
        <f>'FF Deposit'!AM27+IF(Components!AN27&gt;0,AL27-Components!AN27,AL27*(1+EarningsRate))</f>
        <v>8995.1489209199135</v>
      </c>
      <c r="AN27" s="29">
        <f>'FF Deposit'!AN27+IF(Components!AO27&gt;0,AM27-Components!AO27,AM27*(1+EarningsRate))</f>
        <v>10606.64449769004</v>
      </c>
      <c r="AO27" s="29">
        <f>'FF Deposit'!AO27+IF(Components!AP27&gt;0,AN27-Components!AP27,AN27*(1+EarningsRate))</f>
        <v>12251.98148157234</v>
      </c>
      <c r="AP27" s="53"/>
    </row>
    <row r="28" spans="1:42" s="1" customFormat="1">
      <c r="A28" s="220" t="str">
        <f>Components!B28</f>
        <v>Club HVAC</v>
      </c>
      <c r="B28" s="220" t="str">
        <f>Components!C28</f>
        <v>RTU#3 Blower Motor</v>
      </c>
      <c r="C28" s="211"/>
      <c r="D28" s="211"/>
      <c r="E28" s="82">
        <f>AnalysisYear-Components!I28-Components!J28</f>
        <v>8</v>
      </c>
      <c r="F28" s="82">
        <f>IF(H28&lt;0,Components!K28-MOD(AnalysisYear-Components!I28-Components!J28,Components!K28),AnalysisYear-Components!I28-Components!J28)</f>
        <v>8</v>
      </c>
      <c r="G28" s="11">
        <f>ROUND(Components!H28*IF(H28&lt;0,((1+InflationRate)^F28),((1+InflationRate)^H28)),0)</f>
        <v>10736</v>
      </c>
      <c r="H28" s="82">
        <f>IF(E28&gt;=0,Components!K28-E28,E28)</f>
        <v>7</v>
      </c>
      <c r="I28" s="82"/>
      <c r="J28" s="211"/>
      <c r="K28" s="29">
        <f>IF($H28&gt;0,FV(EarningsRate,F28,-'FF Deposit'!L28,1),Components!$H28)</f>
        <v>5307.59150829195</v>
      </c>
      <c r="L28" s="29">
        <f>'FF Deposit'!L28+IF(Components!M28&gt;0,K28-Components!M28,K28*(1+EarningsRate))</f>
        <v>6035.3929034079611</v>
      </c>
      <c r="M28" s="29">
        <f>'FF Deposit'!M28+IF(Components!N28&gt;0,L28-Components!N28,L28*(1+EarningsRate))</f>
        <v>6778.4781278214077</v>
      </c>
      <c r="N28" s="29">
        <f>'FF Deposit'!N28+IF(Components!O28&gt;0,M28-Components!O28,M28*(1+EarningsRate))</f>
        <v>7537.1681419475372</v>
      </c>
      <c r="O28" s="29">
        <f>'FF Deposit'!O28+IF(Components!P28&gt;0,N28-Components!P28,N28*(1+EarningsRate))</f>
        <v>8311.7906463703148</v>
      </c>
      <c r="P28" s="29">
        <f>'FF Deposit'!P28+IF(Components!Q28&gt;0,O28-Components!Q28,O28*(1+EarningsRate))</f>
        <v>9102.6802233859707</v>
      </c>
      <c r="Q28" s="29">
        <f>'FF Deposit'!Q28+IF(Components!R28&gt;0,P28-Components!R28,P28*(1+EarningsRate))</f>
        <v>9910.1784815189549</v>
      </c>
      <c r="R28" s="29">
        <f>'FF Deposit'!R28+IF(Components!S28&gt;0,Q28-Components!S28,Q28*(1+EarningsRate))</f>
        <v>10734.634203072732</v>
      </c>
      <c r="S28" s="29">
        <f>'FF Deposit'!S28+IF(Components!T28&gt;0,R28-Components!T28,R28*(1+EarningsRate))</f>
        <v>1031.2220076220647</v>
      </c>
      <c r="T28" s="29">
        <f>'FF Deposit'!T28+IF(Components!U28&gt;0,S28-Components!U28,S28*(1+EarningsRate))</f>
        <v>2085.4654743314604</v>
      </c>
      <c r="U28" s="29">
        <f>'FF Deposit'!U28+IF(Components!V28&gt;0,T28-Components!V28,T28*(1+EarningsRate))</f>
        <v>3161.8480538417539</v>
      </c>
      <c r="V28" s="29">
        <f>'FF Deposit'!V28+IF(Components!W28&gt;0,U28-Components!W28,U28*(1+EarningsRate))</f>
        <v>4260.8346675217635</v>
      </c>
      <c r="W28" s="29">
        <f>'FF Deposit'!W28+IF(Components!X28&gt;0,V28-Components!X28,V28*(1+EarningsRate))</f>
        <v>5382.9000000890528</v>
      </c>
      <c r="X28" s="29">
        <f>'FF Deposit'!X28+IF(Components!Y28&gt;0,W28-Components!Y28,W28*(1+EarningsRate))</f>
        <v>6528.5287046402555</v>
      </c>
      <c r="Y28" s="29">
        <f>'FF Deposit'!Y28+IF(Components!Z28&gt;0,X28-Components!Z28,X28*(1+EarningsRate))</f>
        <v>7698.2156119870333</v>
      </c>
      <c r="Z28" s="29">
        <f>'FF Deposit'!Z28+IF(Components!AA28&gt;0,Y28-Components!AA28,Y28*(1+EarningsRate))</f>
        <v>8892.4659443880919</v>
      </c>
      <c r="AA28" s="29">
        <f>'FF Deposit'!AA28+IF(Components!AB28&gt;0,Z28-Components!AB28,Z28*(1+EarningsRate))</f>
        <v>10111.795533769575</v>
      </c>
      <c r="AB28" s="29">
        <f>'FF Deposit'!AB28+IF(Components!AC28&gt;0,AA28-Components!AC28,AA28*(1+EarningsRate))</f>
        <v>11356.731044528067</v>
      </c>
      <c r="AC28" s="29">
        <f>'FF Deposit'!AC28+IF(Components!AD28&gt;0,AB28-Components!AD28,AB28*(1+EarningsRate))</f>
        <v>12627.810201012489</v>
      </c>
      <c r="AD28" s="29">
        <f>'FF Deposit'!AD28+IF(Components!AE28&gt;0,AC28-Components!AE28,AC28*(1+EarningsRate))</f>
        <v>13925.582019783084</v>
      </c>
      <c r="AE28" s="29">
        <f>'FF Deposit'!AE28+IF(Components!AF28&gt;0,AD28-Components!AF28,AD28*(1+EarningsRate))</f>
        <v>15250.60704674786</v>
      </c>
      <c r="AF28" s="29">
        <f>'FF Deposit'!AF28+IF(Components!AG28&gt;0,AE28-Components!AG28,AE28*(1+EarningsRate))</f>
        <v>16603.457599278896</v>
      </c>
      <c r="AG28" s="29">
        <f>'FF Deposit'!AG28+IF(Components!AH28&gt;0,AF28-Components!AH28,AF28*(1+EarningsRate))</f>
        <v>17984.718013413083</v>
      </c>
      <c r="AH28" s="29">
        <f>'FF Deposit'!AH28+IF(Components!AI28&gt;0,AG28-Components!AI28,AG28*(1+EarningsRate))</f>
        <v>1728.6103618318889</v>
      </c>
      <c r="AI28" s="29">
        <f>'FF Deposit'!AI28+IF(Components!AJ28&gt;0,AH28-Components!AJ28,AH28*(1+EarningsRate))</f>
        <v>3494.8035278491643</v>
      </c>
      <c r="AJ28" s="29">
        <f>'FF Deposit'!AJ28+IF(Components!AK28&gt;0,AI28-Components!AK28,AI28*(1+EarningsRate))</f>
        <v>5298.0867503528025</v>
      </c>
      <c r="AK28" s="29">
        <f>'FF Deposit'!AK28+IF(Components!AL28&gt;0,AJ28-Components!AL28,AJ28*(1+EarningsRate))</f>
        <v>7139.2389205290165</v>
      </c>
      <c r="AL28" s="29">
        <f>'FF Deposit'!AL28+IF(Components!AM28&gt;0,AK28-Components!AM28,AK28*(1+EarningsRate))</f>
        <v>9019.0552862789318</v>
      </c>
      <c r="AM28" s="29">
        <f>'FF Deposit'!AM28+IF(Components!AN28&gt;0,AL28-Components!AN28,AL28*(1+EarningsRate))</f>
        <v>10938.347795709595</v>
      </c>
      <c r="AN28" s="29">
        <f>'FF Deposit'!AN28+IF(Components!AO28&gt;0,AM28-Components!AO28,AM28*(1+EarningsRate))</f>
        <v>12897.945447838301</v>
      </c>
      <c r="AO28" s="29">
        <f>'FF Deposit'!AO28+IF(Components!AP28&gt;0,AN28-Components!AP28,AN28*(1+EarningsRate))</f>
        <v>14898.69465066171</v>
      </c>
      <c r="AP28" s="53"/>
    </row>
    <row r="29" spans="1:42" s="1" customFormat="1">
      <c r="A29" s="220" t="str">
        <f>Components!B29</f>
        <v>Club HVAC</v>
      </c>
      <c r="B29" s="220" t="str">
        <f>Components!C29</f>
        <v>RTU#3 Compressor #1</v>
      </c>
      <c r="C29" s="211"/>
      <c r="D29" s="211"/>
      <c r="E29" s="82">
        <f>AnalysisYear-Components!I29-Components!J29</f>
        <v>8</v>
      </c>
      <c r="F29" s="82">
        <f>IF(H29&lt;0,Components!K29-MOD(AnalysisYear-Components!I29-Components!J29,Components!K29),AnalysisYear-Components!I29-Components!J29)</f>
        <v>8</v>
      </c>
      <c r="G29" s="11">
        <f>ROUND(Components!H29*IF(H29&lt;0,((1+InflationRate)^F29),((1+InflationRate)^H29)),0)</f>
        <v>16449</v>
      </c>
      <c r="H29" s="82">
        <f>IF(E29&gt;=0,Components!K29-E29,E29)</f>
        <v>7</v>
      </c>
      <c r="I29" s="82"/>
      <c r="J29" s="211"/>
      <c r="K29" s="29">
        <f>IF($H29&gt;0,FV(EarningsRate,F29,-'FF Deposit'!L29,1),Components!$H29)</f>
        <v>8132.5744308836438</v>
      </c>
      <c r="L29" s="29">
        <f>'FF Deposit'!L29+IF(Components!M29&gt;0,K29-Components!M29,K29*(1+EarningsRate))</f>
        <v>9247.6775253354681</v>
      </c>
      <c r="M29" s="29">
        <f>'FF Deposit'!M29+IF(Components!N29&gt;0,L29-Components!N29,L29*(1+EarningsRate))</f>
        <v>10386.19778477078</v>
      </c>
      <c r="N29" s="29">
        <f>'FF Deposit'!N29+IF(Components!O29&gt;0,M29-Components!O29,M29*(1+EarningsRate))</f>
        <v>11548.626969654235</v>
      </c>
      <c r="O29" s="29">
        <f>'FF Deposit'!O29+IF(Components!P29&gt;0,N29-Components!P29,N29*(1+EarningsRate))</f>
        <v>12735.467167420242</v>
      </c>
      <c r="P29" s="29">
        <f>'FF Deposit'!P29+IF(Components!Q29&gt;0,O29-Components!Q29,O29*(1+EarningsRate))</f>
        <v>13947.231009339335</v>
      </c>
      <c r="Q29" s="29">
        <f>'FF Deposit'!Q29+IF(Components!R29&gt;0,P29-Components!R29,P29*(1+EarningsRate))</f>
        <v>15184.44189193873</v>
      </c>
      <c r="R29" s="29">
        <f>'FF Deposit'!R29+IF(Components!S29&gt;0,Q29-Components!S29,Q29*(1+EarningsRate))</f>
        <v>16447.63420307271</v>
      </c>
      <c r="S29" s="29">
        <f>'FF Deposit'!S29+IF(Components!T29&gt;0,R29-Components!T29,R29*(1+EarningsRate))</f>
        <v>1580.6979881911875</v>
      </c>
      <c r="T29" s="29">
        <f>'FF Deposit'!T29+IF(Components!U29&gt;0,S29-Components!U29,S29*(1+EarningsRate))</f>
        <v>3195.9564310616797</v>
      </c>
      <c r="U29" s="29">
        <f>'FF Deposit'!U29+IF(Components!V29&gt;0,T29-Components!V29,T29*(1+EarningsRate))</f>
        <v>4845.1353012324525</v>
      </c>
      <c r="V29" s="29">
        <f>'FF Deposit'!V29+IF(Components!W29&gt;0,U29-Components!W29,U29*(1+EarningsRate))</f>
        <v>6528.9469276768114</v>
      </c>
      <c r="W29" s="29">
        <f>'FF Deposit'!W29+IF(Components!X29&gt;0,V29-Components!X29,V29*(1+EarningsRate))</f>
        <v>8248.1185982765019</v>
      </c>
      <c r="X29" s="29">
        <f>'FF Deposit'!X29+IF(Components!Y29&gt;0,W29-Components!Y29,W29*(1+EarningsRate))</f>
        <v>10003.392873958786</v>
      </c>
      <c r="Y29" s="29">
        <f>'FF Deposit'!Y29+IF(Components!Z29&gt;0,X29-Components!Z29,X29*(1+EarningsRate))</f>
        <v>11795.527909430399</v>
      </c>
      <c r="Z29" s="29">
        <f>'FF Deposit'!Z29+IF(Components!AA29&gt;0,Y29-Components!AA29,Y29*(1+EarningsRate))</f>
        <v>13625.297780646913</v>
      </c>
      <c r="AA29" s="29">
        <f>'FF Deposit'!AA29+IF(Components!AB29&gt;0,Z29-Components!AB29,Z29*(1+EarningsRate))</f>
        <v>15493.492819158975</v>
      </c>
      <c r="AB29" s="29">
        <f>'FF Deposit'!AB29+IF(Components!AC29&gt;0,AA29-Components!AC29,AA29*(1+EarningsRate))</f>
        <v>17400.919953479788</v>
      </c>
      <c r="AC29" s="29">
        <f>'FF Deposit'!AC29+IF(Components!AD29&gt;0,AB29-Components!AD29,AB29*(1+EarningsRate))</f>
        <v>19348.403057621337</v>
      </c>
      <c r="AD29" s="29">
        <f>'FF Deposit'!AD29+IF(Components!AE29&gt;0,AC29-Components!AE29,AC29*(1+EarningsRate))</f>
        <v>21336.783306949859</v>
      </c>
      <c r="AE29" s="29">
        <f>'FF Deposit'!AE29+IF(Components!AF29&gt;0,AD29-Components!AF29,AD29*(1+EarningsRate))</f>
        <v>23366.919541514282</v>
      </c>
      <c r="AF29" s="29">
        <f>'FF Deposit'!AF29+IF(Components!AG29&gt;0,AE29-Components!AG29,AE29*(1+EarningsRate))</f>
        <v>25439.688637004558</v>
      </c>
      <c r="AG29" s="29">
        <f>'FF Deposit'!AG29+IF(Components!AH29&gt;0,AF29-Components!AH29,AF29*(1+EarningsRate))</f>
        <v>27555.985883500129</v>
      </c>
      <c r="AH29" s="29">
        <f>'FF Deposit'!AH29+IF(Components!AI29&gt;0,AG29-Components!AI29,AG29*(1+EarningsRate))</f>
        <v>2649.416409763724</v>
      </c>
      <c r="AI29" s="29">
        <f>'FF Deposit'!AI29+IF(Components!AJ29&gt;0,AH29-Components!AJ29,AH29*(1+EarningsRate))</f>
        <v>5355.4846806323567</v>
      </c>
      <c r="AJ29" s="29">
        <f>'FF Deposit'!AJ29+IF(Components!AK29&gt;0,AI29-Components!AK29,AI29*(1+EarningsRate))</f>
        <v>8118.3803851892308</v>
      </c>
      <c r="AK29" s="29">
        <f>'FF Deposit'!AK29+IF(Components!AL29&gt;0,AJ29-Components!AL29,AJ29*(1+EarningsRate))</f>
        <v>10939.2968995418</v>
      </c>
      <c r="AL29" s="29">
        <f>'FF Deposit'!AL29+IF(Components!AM29&gt;0,AK29-Components!AM29,AK29*(1+EarningsRate))</f>
        <v>13819.452660695772</v>
      </c>
      <c r="AM29" s="29">
        <f>'FF Deposit'!AM29+IF(Components!AN29&gt;0,AL29-Components!AN29,AL29*(1+EarningsRate))</f>
        <v>16760.091692833979</v>
      </c>
      <c r="AN29" s="29">
        <f>'FF Deposit'!AN29+IF(Components!AO29&gt;0,AM29-Components!AO29,AM29*(1+EarningsRate))</f>
        <v>19762.484144647089</v>
      </c>
      <c r="AO29" s="29">
        <f>'FF Deposit'!AO29+IF(Components!AP29&gt;0,AN29-Components!AP29,AN29*(1+EarningsRate))</f>
        <v>22827.926837948275</v>
      </c>
      <c r="AP29" s="53"/>
    </row>
    <row r="30" spans="1:42" s="1" customFormat="1">
      <c r="A30" s="220" t="str">
        <f>Components!B30</f>
        <v>Club HVAC</v>
      </c>
      <c r="B30" s="220" t="str">
        <f>Components!C30</f>
        <v>RTU#3 Compressor #2</v>
      </c>
      <c r="C30" s="211"/>
      <c r="D30" s="211"/>
      <c r="E30" s="82">
        <f>AnalysisYear-Components!I30-Components!J30</f>
        <v>8</v>
      </c>
      <c r="F30" s="82">
        <f>IF(H30&lt;0,Components!K30-MOD(AnalysisYear-Components!I30-Components!J30,Components!K30),AnalysisYear-Components!I30-Components!J30)</f>
        <v>8</v>
      </c>
      <c r="G30" s="11">
        <f>ROUND(Components!H30*IF(H30&lt;0,((1+InflationRate)^F30),((1+InflationRate)^H30)),0)</f>
        <v>22582</v>
      </c>
      <c r="H30" s="82">
        <f>IF(E30&gt;=0,Components!K30-E30,E30)</f>
        <v>7</v>
      </c>
      <c r="I30" s="82"/>
      <c r="J30" s="211"/>
      <c r="K30" s="29">
        <f>IF($H30&gt;0,FV(EarningsRate,F30,-'FF Deposit'!L30,1),Components!$H30)</f>
        <v>11165.240326954861</v>
      </c>
      <c r="L30" s="29">
        <f>'FF Deposit'!L30+IF(Components!M30&gt;0,K30-Components!M30,K30*(1+EarningsRate))</f>
        <v>12696.118202086984</v>
      </c>
      <c r="M30" s="29">
        <f>'FF Deposit'!M30+IF(Components!N30&gt;0,L30-Components!N30,L30*(1+EarningsRate))</f>
        <v>14259.144512596882</v>
      </c>
      <c r="N30" s="29">
        <f>'FF Deposit'!N30+IF(Components!O30&gt;0,M30-Components!O30,M30*(1+EarningsRate))</f>
        <v>15854.994375627488</v>
      </c>
      <c r="O30" s="29">
        <f>'FF Deposit'!O30+IF(Components!P30&gt;0,N30-Components!P30,N30*(1+EarningsRate))</f>
        <v>17484.357085781736</v>
      </c>
      <c r="P30" s="29">
        <f>'FF Deposit'!P30+IF(Components!Q30&gt;0,O30-Components!Q30,O30*(1+EarningsRate))</f>
        <v>19147.93641284922</v>
      </c>
      <c r="Q30" s="29">
        <f>'FF Deposit'!Q30+IF(Components!R30&gt;0,P30-Components!R30,P30*(1+EarningsRate))</f>
        <v>20846.450905785121</v>
      </c>
      <c r="R30" s="29">
        <f>'FF Deposit'!R30+IF(Components!S30&gt;0,Q30-Components!S30,Q30*(1+EarningsRate))</f>
        <v>22580.634203072677</v>
      </c>
      <c r="S30" s="29">
        <f>'FF Deposit'!S30+IF(Components!T30&gt;0,R30-Components!T30,R30*(1+EarningsRate))</f>
        <v>2170.5695423361863</v>
      </c>
      <c r="T30" s="29">
        <f>'FF Deposit'!T30+IF(Components!U30&gt;0,S30-Components!U30,S30*(1+EarningsRate))</f>
        <v>4388.0868419887547</v>
      </c>
      <c r="U30" s="29">
        <f>'FF Deposit'!U30+IF(Components!V30&gt;0,T30-Components!V30,T30*(1+EarningsRate))</f>
        <v>6652.1720049340274</v>
      </c>
      <c r="V30" s="29">
        <f>'FF Deposit'!V30+IF(Components!W30&gt;0,U30-Components!W30,U30*(1+EarningsRate))</f>
        <v>8963.8029563011496</v>
      </c>
      <c r="W30" s="29">
        <f>'FF Deposit'!W30+IF(Components!X30&gt;0,V30-Components!X30,V30*(1+EarningsRate))</f>
        <v>11323.978157646983</v>
      </c>
      <c r="X30" s="29">
        <f>'FF Deposit'!X30+IF(Components!Y30&gt;0,W30-Components!Y30,W30*(1+EarningsRate))</f>
        <v>13733.717038221079</v>
      </c>
      <c r="Y30" s="29">
        <f>'FF Deposit'!Y30+IF(Components!Z30&gt;0,X30-Components!Z30,X30*(1+EarningsRate))</f>
        <v>16194.060435287229</v>
      </c>
      <c r="Z30" s="29">
        <f>'FF Deposit'!Z30+IF(Components!AA30&gt;0,Y30-Components!AA30,Y30*(1+EarningsRate))</f>
        <v>18706.071043691769</v>
      </c>
      <c r="AA30" s="29">
        <f>'FF Deposit'!AA30+IF(Components!AB30&gt;0,Z30-Components!AB30,Z30*(1+EarningsRate))</f>
        <v>21270.833874872802</v>
      </c>
      <c r="AB30" s="29">
        <f>'FF Deposit'!AB30+IF(Components!AC30&gt;0,AA30-Components!AC30,AA30*(1+EarningsRate))</f>
        <v>23889.456725508637</v>
      </c>
      <c r="AC30" s="29">
        <f>'FF Deposit'!AC30+IF(Components!AD30&gt;0,AB30-Components!AD30,AB30*(1+EarningsRate))</f>
        <v>26563.070656007825</v>
      </c>
      <c r="AD30" s="29">
        <f>'FF Deposit'!AD30+IF(Components!AE30&gt;0,AC30-Components!AE30,AC30*(1+EarningsRate))</f>
        <v>29292.830479047498</v>
      </c>
      <c r="AE30" s="29">
        <f>'FF Deposit'!AE30+IF(Components!AF30&gt;0,AD30-Components!AF30,AD30*(1+EarningsRate))</f>
        <v>32079.915258371002</v>
      </c>
      <c r="AF30" s="29">
        <f>'FF Deposit'!AF30+IF(Components!AG30&gt;0,AE30-Components!AG30,AE30*(1+EarningsRate))</f>
        <v>34925.528818060295</v>
      </c>
      <c r="AG30" s="29">
        <f>'FF Deposit'!AG30+IF(Components!AH30&gt;0,AF30-Components!AH30,AF30*(1+EarningsRate))</f>
        <v>37830.90026250307</v>
      </c>
      <c r="AH30" s="29">
        <f>'FF Deposit'!AH30+IF(Components!AI30&gt;0,AG30-Components!AI30,AG30*(1+EarningsRate))</f>
        <v>3637.579642319608</v>
      </c>
      <c r="AI30" s="29">
        <f>'FF Deposit'!AI30+IF(Components!AJ30&gt;0,AH30-Components!AJ30,AH30*(1+EarningsRate))</f>
        <v>7352.6481946248568</v>
      </c>
      <c r="AJ30" s="29">
        <f>'FF Deposit'!AJ30+IF(Components!AK30&gt;0,AI30-Components!AK30,AI30*(1+EarningsRate))</f>
        <v>11145.733186528516</v>
      </c>
      <c r="AK30" s="29">
        <f>'FF Deposit'!AK30+IF(Components!AL30&gt;0,AJ30-Components!AL30,AJ30*(1+EarningsRate))</f>
        <v>15018.472963262151</v>
      </c>
      <c r="AL30" s="29">
        <f>'FF Deposit'!AL30+IF(Components!AM30&gt;0,AK30-Components!AM30,AK30*(1+EarningsRate))</f>
        <v>18972.54027530719</v>
      </c>
      <c r="AM30" s="29">
        <f>'FF Deposit'!AM30+IF(Components!AN30&gt;0,AL30-Components!AN30,AL30*(1+EarningsRate))</f>
        <v>23009.643000905176</v>
      </c>
      <c r="AN30" s="29">
        <f>'FF Deposit'!AN30+IF(Components!AO30&gt;0,AM30-Components!AO30,AM30*(1+EarningsRate))</f>
        <v>27131.52488374072</v>
      </c>
      <c r="AO30" s="29">
        <f>'FF Deposit'!AO30+IF(Components!AP30&gt;0,AN30-Components!AP30,AN30*(1+EarningsRate))</f>
        <v>31339.96628611581</v>
      </c>
      <c r="AP30" s="53"/>
    </row>
    <row r="31" spans="1:42" s="1" customFormat="1">
      <c r="A31" s="220" t="str">
        <f>Components!B31</f>
        <v>Club HVAC</v>
      </c>
      <c r="B31" s="220" t="str">
        <f>Components!C31</f>
        <v>RTU#3 Compressor #3</v>
      </c>
      <c r="C31" s="211"/>
      <c r="D31" s="211"/>
      <c r="E31" s="82">
        <f>AnalysisYear-Components!I31-Components!J31</f>
        <v>8</v>
      </c>
      <c r="F31" s="82">
        <f>IF(H31&lt;0,Components!K31-MOD(AnalysisYear-Components!I31-Components!J31,Components!K31),AnalysisYear-Components!I31-Components!J31)</f>
        <v>8</v>
      </c>
      <c r="G31" s="11">
        <f>ROUND(Components!H31*IF(H31&lt;0,((1+InflationRate)^F31),((1+InflationRate)^H31)),0)</f>
        <v>19292</v>
      </c>
      <c r="H31" s="82">
        <f>IF(E31&gt;=0,Components!K31-E31,E31)</f>
        <v>7</v>
      </c>
      <c r="I31" s="82"/>
      <c r="J31" s="211"/>
      <c r="K31" s="29">
        <f>IF($H31&gt;0,FV(EarningsRate,F31,-'FF Deposit'!L31,1),Components!$H31)</f>
        <v>9538.3903680319363</v>
      </c>
      <c r="L31" s="29">
        <f>'FF Deposit'!L31+IF(Components!M31&gt;0,K31-Components!M31,K31*(1+EarningsRate))</f>
        <v>10846.229105965596</v>
      </c>
      <c r="M31" s="29">
        <f>'FF Deposit'!M31+IF(Components!N31&gt;0,L31-Components!N31,L31*(1+EarningsRate))</f>
        <v>12181.532457395862</v>
      </c>
      <c r="N31" s="29">
        <f>'FF Deposit'!N31+IF(Components!O31&gt;0,M31-Components!O31,M31*(1+EarningsRate))</f>
        <v>13544.877179206163</v>
      </c>
      <c r="O31" s="29">
        <f>'FF Deposit'!O31+IF(Components!P31&gt;0,N31-Components!P31,N31*(1+EarningsRate))</f>
        <v>14936.85214017448</v>
      </c>
      <c r="P31" s="29">
        <f>'FF Deposit'!P31+IF(Components!Q31&gt;0,O31-Components!Q31,O31*(1+EarningsRate))</f>
        <v>16358.058575323132</v>
      </c>
      <c r="Q31" s="29">
        <f>'FF Deposit'!Q31+IF(Components!R31&gt;0,P31-Components!R31,P31*(1+EarningsRate))</f>
        <v>17809.110345609904</v>
      </c>
      <c r="R31" s="29">
        <f>'FF Deposit'!R31+IF(Components!S31&gt;0,Q31-Components!S31,Q31*(1+EarningsRate))</f>
        <v>19290.634203072699</v>
      </c>
      <c r="S31" s="29">
        <f>'FF Deposit'!S31+IF(Components!T31&gt;0,R31-Components!T31,R31*(1+EarningsRate))</f>
        <v>1854.1375493250955</v>
      </c>
      <c r="T31" s="29">
        <f>'FF Deposit'!T31+IF(Components!U31&gt;0,S31-Components!U31,S31*(1+EarningsRate))</f>
        <v>3748.5777841133186</v>
      </c>
      <c r="U31" s="29">
        <f>'FF Deposit'!U31+IF(Components!V31&gt;0,T31-Components!V31,T31*(1+EarningsRate))</f>
        <v>5682.8012638320943</v>
      </c>
      <c r="V31" s="29">
        <f>'FF Deposit'!V31+IF(Components!W31&gt;0,U31-Components!W31,U31*(1+EarningsRate))</f>
        <v>7657.6434366249641</v>
      </c>
      <c r="W31" s="29">
        <f>'FF Deposit'!W31+IF(Components!X31&gt;0,V31-Components!X31,V31*(1+EarningsRate))</f>
        <v>9673.9572950464844</v>
      </c>
      <c r="X31" s="29">
        <f>'FF Deposit'!X31+IF(Components!Y31&gt;0,W31-Components!Y31,W31*(1+EarningsRate))</f>
        <v>11732.613744494856</v>
      </c>
      <c r="Y31" s="29">
        <f>'FF Deposit'!Y31+IF(Components!Z31&gt;0,X31-Components!Z31,X31*(1+EarningsRate))</f>
        <v>13834.501979381645</v>
      </c>
      <c r="Z31" s="29">
        <f>'FF Deposit'!Z31+IF(Components!AA31&gt;0,Y31-Components!AA31,Y31*(1+EarningsRate))</f>
        <v>15980.529867201054</v>
      </c>
      <c r="AA31" s="29">
        <f>'FF Deposit'!AA31+IF(Components!AB31&gt;0,Z31-Components!AB31,Z31*(1+EarningsRate))</f>
        <v>18171.624340664672</v>
      </c>
      <c r="AB31" s="29">
        <f>'FF Deposit'!AB31+IF(Components!AC31&gt;0,AA31-Components!AC31,AA31*(1+EarningsRate))</f>
        <v>20408.731798071025</v>
      </c>
      <c r="AC31" s="29">
        <f>'FF Deposit'!AC31+IF(Components!AD31&gt;0,AB31-Components!AD31,AB31*(1+EarningsRate))</f>
        <v>22692.818512082911</v>
      </c>
      <c r="AD31" s="29">
        <f>'FF Deposit'!AD31+IF(Components!AE31&gt;0,AC31-Components!AE31,AC31*(1+EarningsRate))</f>
        <v>25024.871047089047</v>
      </c>
      <c r="AE31" s="29">
        <f>'FF Deposit'!AE31+IF(Components!AF31&gt;0,AD31-Components!AF31,AD31*(1+EarningsRate))</f>
        <v>27405.896685330314</v>
      </c>
      <c r="AF31" s="29">
        <f>'FF Deposit'!AF31+IF(Components!AG31&gt;0,AE31-Components!AG31,AE31*(1+EarningsRate))</f>
        <v>29836.923861974643</v>
      </c>
      <c r="AG31" s="29">
        <f>'FF Deposit'!AG31+IF(Components!AH31&gt;0,AF31-Components!AH31,AF31*(1+EarningsRate))</f>
        <v>32319.002609328505</v>
      </c>
      <c r="AH31" s="29">
        <f>'FF Deposit'!AH31+IF(Components!AI31&gt;0,AG31-Components!AI31,AG31*(1+EarningsRate))</f>
        <v>3106.6343558671583</v>
      </c>
      <c r="AI31" s="29">
        <f>'FF Deposit'!AI31+IF(Components!AJ31&gt;0,AH31-Components!AJ31,AH31*(1+EarningsRate))</f>
        <v>6280.5054238790217</v>
      </c>
      <c r="AJ31" s="29">
        <f>'FF Deposit'!AJ31+IF(Components!AK31&gt;0,AI31-Components!AK31,AI31*(1+EarningsRate))</f>
        <v>9521.0277843191343</v>
      </c>
      <c r="AK31" s="29">
        <f>'FF Deposit'!AK31+IF(Components!AL31&gt;0,AJ31-Components!AL31,AJ31*(1+EarningsRate))</f>
        <v>12829.601114328489</v>
      </c>
      <c r="AL31" s="29">
        <f>'FF Deposit'!AL31+IF(Components!AM31&gt;0,AK31-Components!AM31,AK31*(1+EarningsRate))</f>
        <v>16207.654484268038</v>
      </c>
      <c r="AM31" s="29">
        <f>'FF Deposit'!AM31+IF(Components!AN31&gt;0,AL31-Components!AN31,AL31*(1+EarningsRate))</f>
        <v>19656.646974976316</v>
      </c>
      <c r="AN31" s="29">
        <f>'FF Deposit'!AN31+IF(Components!AO31&gt;0,AM31-Components!AO31,AM31*(1+EarningsRate))</f>
        <v>23178.06830798947</v>
      </c>
      <c r="AO31" s="29">
        <f>'FF Deposit'!AO31+IF(Components!AP31&gt;0,AN31-Components!AP31,AN31*(1+EarningsRate))</f>
        <v>26773.4394889959</v>
      </c>
      <c r="AP31" s="53"/>
    </row>
    <row r="32" spans="1:42" s="1" customFormat="1">
      <c r="A32" s="220" t="str">
        <f>Components!B32</f>
        <v>Club HVAC</v>
      </c>
      <c r="B32" s="220" t="str">
        <f>Components!C32</f>
        <v>RTU#3 Compressor #4</v>
      </c>
      <c r="C32" s="211"/>
      <c r="D32" s="211"/>
      <c r="E32" s="82">
        <f>AnalysisYear-Components!I32-Components!J32</f>
        <v>8</v>
      </c>
      <c r="F32" s="82">
        <f>IF(H32&lt;0,Components!K32-MOD(AnalysisYear-Components!I32-Components!J32,Components!K32),AnalysisYear-Components!I32-Components!J32)</f>
        <v>8</v>
      </c>
      <c r="G32" s="11">
        <f>ROUND(Components!H32*IF(H32&lt;0,((1+InflationRate)^F32),((1+InflationRate)^H32)),0)</f>
        <v>17249</v>
      </c>
      <c r="H32" s="82">
        <f>IF(E32&gt;=0,Components!K32-E32,E32)</f>
        <v>7</v>
      </c>
      <c r="I32" s="82"/>
      <c r="J32" s="211"/>
      <c r="K32" s="29">
        <f>IF($H32&gt;0,FV(EarningsRate,F32,-'FF Deposit'!L32,1),Components!$H32)</f>
        <v>8528.1610470351152</v>
      </c>
      <c r="L32" s="29">
        <f>'FF Deposit'!L32+IF(Components!M32&gt;0,K32-Components!M32,K32*(1+EarningsRate))</f>
        <v>9697.4985821431019</v>
      </c>
      <c r="M32" s="29">
        <f>'FF Deposit'!M32+IF(Components!N32&gt;0,L32-Components!N32,L32*(1+EarningsRate))</f>
        <v>10891.392205488355</v>
      </c>
      <c r="N32" s="29">
        <f>'FF Deposit'!N32+IF(Components!O32&gt;0,M32-Components!O32,M32*(1+EarningsRate))</f>
        <v>12110.35759492386</v>
      </c>
      <c r="O32" s="29">
        <f>'FF Deposit'!O32+IF(Components!P32&gt;0,N32-Components!P32,N32*(1+EarningsRate))</f>
        <v>13354.92125753751</v>
      </c>
      <c r="P32" s="29">
        <f>'FF Deposit'!P32+IF(Components!Q32&gt;0,O32-Components!Q32,O32*(1+EarningsRate))</f>
        <v>14625.620757066046</v>
      </c>
      <c r="Q32" s="29">
        <f>'FF Deposit'!Q32+IF(Components!R32&gt;0,P32-Components!R32,P32*(1+EarningsRate))</f>
        <v>15923.004946084682</v>
      </c>
      <c r="R32" s="29">
        <f>'FF Deposit'!R32+IF(Components!S32&gt;0,Q32-Components!S32,Q32*(1+EarningsRate))</f>
        <v>17247.634203072706</v>
      </c>
      <c r="S32" s="29">
        <f>'FF Deposit'!S32+IF(Components!T32&gt;0,R32-Components!T32,R32*(1+EarningsRate))</f>
        <v>1657.6419378595392</v>
      </c>
      <c r="T32" s="29">
        <f>'FF Deposit'!T32+IF(Components!U32&gt;0,S32-Components!U32,S32*(1+EarningsRate))</f>
        <v>3351.4601533414225</v>
      </c>
      <c r="U32" s="29">
        <f>'FF Deposit'!U32+IF(Components!V32&gt;0,T32-Components!V32,T32*(1+EarningsRate))</f>
        <v>5080.8485513484247</v>
      </c>
      <c r="V32" s="29">
        <f>'FF Deposit'!V32+IF(Components!W32&gt;0,U32-Components!W32,U32*(1+EarningsRate))</f>
        <v>6846.5541057135742</v>
      </c>
      <c r="W32" s="29">
        <f>'FF Deposit'!W32+IF(Components!X32&gt;0,V32-Components!X32,V32*(1+EarningsRate))</f>
        <v>8649.3394767203918</v>
      </c>
      <c r="X32" s="29">
        <f>'FF Deposit'!X32+IF(Components!Y32&gt;0,W32-Components!Y32,W32*(1+EarningsRate))</f>
        <v>10489.983340518353</v>
      </c>
      <c r="Y32" s="29">
        <f>'FF Deposit'!Y32+IF(Components!Z32&gt;0,X32-Components!Z32,X32*(1+EarningsRate))</f>
        <v>12369.280725456068</v>
      </c>
      <c r="Z32" s="29">
        <f>'FF Deposit'!Z32+IF(Components!AA32&gt;0,Y32-Components!AA32,Y32*(1+EarningsRate))</f>
        <v>14288.043355477479</v>
      </c>
      <c r="AA32" s="29">
        <f>'FF Deposit'!AA32+IF(Components!AB32&gt;0,Z32-Components!AB32,Z32*(1+EarningsRate))</f>
        <v>16247.100000729337</v>
      </c>
      <c r="AB32" s="29">
        <f>'FF Deposit'!AB32+IF(Components!AC32&gt;0,AA32-Components!AC32,AA32*(1+EarningsRate))</f>
        <v>18247.296835531484</v>
      </c>
      <c r="AC32" s="29">
        <f>'FF Deposit'!AC32+IF(Components!AD32&gt;0,AB32-Components!AD32,AB32*(1+EarningsRate))</f>
        <v>20289.497803864477</v>
      </c>
      <c r="AD32" s="29">
        <f>'FF Deposit'!AD32+IF(Components!AE32&gt;0,AC32-Components!AE32,AC32*(1+EarningsRate))</f>
        <v>22374.584992532462</v>
      </c>
      <c r="AE32" s="29">
        <f>'FF Deposit'!AE32+IF(Components!AF32&gt;0,AD32-Components!AF32,AD32*(1+EarningsRate))</f>
        <v>24503.459012162475</v>
      </c>
      <c r="AF32" s="29">
        <f>'FF Deposit'!AF32+IF(Components!AG32&gt;0,AE32-Components!AG32,AE32*(1+EarningsRate))</f>
        <v>26677.039386204717</v>
      </c>
      <c r="AG32" s="29">
        <f>'FF Deposit'!AG32+IF(Components!AH32&gt;0,AF32-Components!AH32,AF32*(1+EarningsRate))</f>
        <v>28896.264948101845</v>
      </c>
      <c r="AH32" s="29">
        <f>'FF Deposit'!AH32+IF(Components!AI32&gt;0,AG32-Components!AI32,AG32*(1+EarningsRate))</f>
        <v>2777.6727699970224</v>
      </c>
      <c r="AI32" s="29">
        <f>'FF Deposit'!AI32+IF(Components!AJ32&gt;0,AH32-Components!AJ32,AH32*(1+EarningsRate))</f>
        <v>5615.4117200621367</v>
      </c>
      <c r="AJ32" s="29">
        <f>'FF Deposit'!AJ32+IF(Components!AK32&gt;0,AI32-Components!AK32,AI32*(1+EarningsRate))</f>
        <v>8512.7431880786171</v>
      </c>
      <c r="AK32" s="29">
        <f>'FF Deposit'!AK32+IF(Components!AL32&gt;0,AJ32-Components!AL32,AJ32*(1+EarningsRate))</f>
        <v>11470.918616923445</v>
      </c>
      <c r="AL32" s="29">
        <f>'FF Deposit'!AL32+IF(Components!AM32&gt;0,AK32-Components!AM32,AK32*(1+EarningsRate))</f>
        <v>14491.215729774012</v>
      </c>
      <c r="AM32" s="29">
        <f>'FF Deposit'!AM32+IF(Components!AN32&gt;0,AL32-Components!AN32,AL32*(1+EarningsRate))</f>
        <v>17574.939081994442</v>
      </c>
      <c r="AN32" s="29">
        <f>'FF Deposit'!AN32+IF(Components!AO32&gt;0,AM32-Components!AO32,AM32*(1+EarningsRate))</f>
        <v>20723.420624611499</v>
      </c>
      <c r="AO32" s="29">
        <f>'FF Deposit'!AO32+IF(Components!AP32&gt;0,AN32-Components!AP32,AN32*(1+EarningsRate))</f>
        <v>23938.020279623513</v>
      </c>
      <c r="AP32" s="53"/>
    </row>
    <row r="33" spans="1:42" s="1" customFormat="1">
      <c r="A33" s="220" t="str">
        <f>Components!B33</f>
        <v>Club HVAC</v>
      </c>
      <c r="B33" s="220" t="str">
        <f>Components!C33</f>
        <v>RTU#3 Evaporative Coil</v>
      </c>
      <c r="C33" s="211"/>
      <c r="D33" s="211"/>
      <c r="E33" s="82">
        <f>AnalysisYear-Components!I33-Components!J33</f>
        <v>8</v>
      </c>
      <c r="F33" s="82">
        <f>IF(H33&lt;0,Components!K33-MOD(AnalysisYear-Components!I33-Components!J33,Components!K33),AnalysisYear-Components!I33-Components!J33)</f>
        <v>8</v>
      </c>
      <c r="G33" s="11">
        <f>ROUND(Components!H33*IF(H33&lt;0,((1+InflationRate)^F33),((1+InflationRate)^H33)),0)</f>
        <v>8154</v>
      </c>
      <c r="H33" s="82">
        <f>IF(E33&gt;=0,Components!K33-E33,E33)</f>
        <v>7</v>
      </c>
      <c r="I33" s="82"/>
      <c r="J33" s="211"/>
      <c r="K33" s="29">
        <f>IF($H33&gt;0,FV(EarningsRate,F33,-'FF Deposit'!L33,1),Components!$H33)</f>
        <v>4030.8357046630763</v>
      </c>
      <c r="L33" s="29">
        <f>'FF Deposit'!L33+IF(Components!M33&gt;0,K33-Components!M33,K33*(1+EarningsRate))</f>
        <v>4583.5954425613263</v>
      </c>
      <c r="M33" s="29">
        <f>'FF Deposit'!M33+IF(Components!N33&gt;0,L33-Components!N33,L33*(1+EarningsRate))</f>
        <v>5147.9631349554393</v>
      </c>
      <c r="N33" s="29">
        <f>'FF Deposit'!N33+IF(Components!O33&gt;0,M33-Components!O33,M33*(1+EarningsRate))</f>
        <v>5724.1825488898285</v>
      </c>
      <c r="O33" s="29">
        <f>'FF Deposit'!O33+IF(Components!P33&gt;0,N33-Components!P33,N33*(1+EarningsRate))</f>
        <v>6312.50257051684</v>
      </c>
      <c r="P33" s="29">
        <f>'FF Deposit'!P33+IF(Components!Q33&gt;0,O33-Components!Q33,O33*(1+EarningsRate))</f>
        <v>6913.1773125980189</v>
      </c>
      <c r="Q33" s="29">
        <f>'FF Deposit'!Q33+IF(Components!R33&gt;0,P33-Components!R33,P33*(1+EarningsRate))</f>
        <v>7526.466224262902</v>
      </c>
      <c r="R33" s="29">
        <f>'FF Deposit'!R33+IF(Components!S33&gt;0,Q33-Components!S33,Q33*(1+EarningsRate))</f>
        <v>8152.6342030727474</v>
      </c>
      <c r="S33" s="29">
        <f>'FF Deposit'!S33+IF(Components!T33&gt;0,R33-Components!T33,R33*(1+EarningsRate))</f>
        <v>782.8854100674622</v>
      </c>
      <c r="T33" s="29">
        <f>'FF Deposit'!T33+IF(Components!U33&gt;0,S33-Components!U33,S33*(1+EarningsRate))</f>
        <v>1583.5772106735935</v>
      </c>
      <c r="U33" s="29">
        <f>'FF Deposit'!U33+IF(Components!V33&gt;0,T33-Components!V33,T33*(1+EarningsRate))</f>
        <v>2401.0835390924535</v>
      </c>
      <c r="V33" s="29">
        <f>'FF Deposit'!V33+IF(Components!W33&gt;0,U33-Components!W33,U33*(1+EarningsRate))</f>
        <v>3235.7575004081095</v>
      </c>
      <c r="W33" s="29">
        <f>'FF Deposit'!W33+IF(Components!X33&gt;0,V33-Components!X33,V33*(1+EarningsRate))</f>
        <v>4087.9596149113941</v>
      </c>
      <c r="X33" s="29">
        <f>'FF Deposit'!X33+IF(Components!Y33&gt;0,W33-Components!Y33,W33*(1+EarningsRate))</f>
        <v>4958.0579738192482</v>
      </c>
      <c r="Y33" s="29">
        <f>'FF Deposit'!Y33+IF(Components!Z33&gt;0,X33-Components!Z33,X33*(1+EarningsRate))</f>
        <v>5846.4283982641673</v>
      </c>
      <c r="Z33" s="29">
        <f>'FF Deposit'!Z33+IF(Components!AA33&gt;0,Y33-Components!AA33,Y33*(1+EarningsRate))</f>
        <v>6753.4546016224294</v>
      </c>
      <c r="AA33" s="29">
        <f>'FF Deposit'!AA33+IF(Components!AB33&gt;0,Z33-Components!AB33,Z33*(1+EarningsRate))</f>
        <v>7679.5283552512146</v>
      </c>
      <c r="AB33" s="29">
        <f>'FF Deposit'!AB33+IF(Components!AC33&gt;0,AA33-Components!AC33,AA33*(1+EarningsRate))</f>
        <v>8625.049657706204</v>
      </c>
      <c r="AC33" s="29">
        <f>'FF Deposit'!AC33+IF(Components!AD33&gt;0,AB33-Components!AD33,AB33*(1+EarningsRate))</f>
        <v>9590.4269075127486</v>
      </c>
      <c r="AD33" s="29">
        <f>'FF Deposit'!AD33+IF(Components!AE33&gt;0,AC33-Components!AE33,AC33*(1+EarningsRate))</f>
        <v>10576.07707956523</v>
      </c>
      <c r="AE33" s="29">
        <f>'FF Deposit'!AE33+IF(Components!AF33&gt;0,AD33-Components!AF33,AD33*(1+EarningsRate))</f>
        <v>11582.425905230813</v>
      </c>
      <c r="AF33" s="29">
        <f>'FF Deposit'!AF33+IF(Components!AG33&gt;0,AE33-Components!AG33,AE33*(1+EarningsRate))</f>
        <v>12609.908056235374</v>
      </c>
      <c r="AG33" s="29">
        <f>'FF Deposit'!AG33+IF(Components!AH33&gt;0,AF33-Components!AH33,AF33*(1+EarningsRate))</f>
        <v>13658.96733241103</v>
      </c>
      <c r="AH33" s="29">
        <f>'FF Deposit'!AH33+IF(Components!AI33&gt;0,AG33-Components!AI33,AG33*(1+EarningsRate))</f>
        <v>1311.8814529352878</v>
      </c>
      <c r="AI33" s="29">
        <f>'FF Deposit'!AI33+IF(Components!AJ33&gt;0,AH33-Components!AJ33,AH33*(1+EarningsRate))</f>
        <v>2653.3450839711868</v>
      </c>
      <c r="AJ33" s="29">
        <f>'FF Deposit'!AJ33+IF(Components!AK33&gt;0,AI33-Components!AK33,AI33*(1+EarningsRate))</f>
        <v>4022.9794512588396</v>
      </c>
      <c r="AK33" s="29">
        <f>'FF Deposit'!AK33+IF(Components!AL33&gt;0,AJ33-Components!AL33,AJ33*(1+EarningsRate))</f>
        <v>5421.3761402595328</v>
      </c>
      <c r="AL33" s="29">
        <f>'FF Deposit'!AL33+IF(Components!AM33&gt;0,AK33-Components!AM33,AK33*(1+EarningsRate))</f>
        <v>6849.1391597292404</v>
      </c>
      <c r="AM33" s="29">
        <f>'FF Deposit'!AM33+IF(Components!AN33&gt;0,AL33-Components!AN33,AL33*(1+EarningsRate))</f>
        <v>8306.8852026078112</v>
      </c>
      <c r="AN33" s="29">
        <f>'FF Deposit'!AN33+IF(Components!AO33&gt;0,AM33-Components!AO33,AM33*(1+EarningsRate))</f>
        <v>9795.2439123868317</v>
      </c>
      <c r="AO33" s="29">
        <f>'FF Deposit'!AO33+IF(Components!AP33&gt;0,AN33-Components!AP33,AN33*(1+EarningsRate))</f>
        <v>11314.858155071212</v>
      </c>
      <c r="AP33" s="53"/>
    </row>
    <row r="34" spans="1:42" s="1" customFormat="1">
      <c r="A34" s="220" t="str">
        <f>Components!B34</f>
        <v>Club HVAC</v>
      </c>
      <c r="B34" s="220" t="str">
        <f>Components!C34</f>
        <v>Solar Panels</v>
      </c>
      <c r="C34" s="211"/>
      <c r="D34" s="211"/>
      <c r="E34" s="82">
        <f>AnalysisYear-Components!I34-Components!J34</f>
        <v>8</v>
      </c>
      <c r="F34" s="82">
        <f>IF(H34&lt;0,Components!K34-MOD(AnalysisYear-Components!I34-Components!J34,Components!K34),AnalysisYear-Components!I34-Components!J34)</f>
        <v>8</v>
      </c>
      <c r="G34" s="11">
        <f>ROUND(Components!H34*IF(H34&lt;0,((1+InflationRate)^F34),((1+InflationRate)^H34)),0)</f>
        <v>397958</v>
      </c>
      <c r="H34" s="82">
        <f>IF(E34&gt;=0,Components!K34-E34,E34)</f>
        <v>12</v>
      </c>
      <c r="I34" s="82"/>
      <c r="J34" s="211"/>
      <c r="K34" s="29">
        <f>IF($H34&gt;0,FV(EarningsRate,F34,-'FF Deposit'!L34,1),Components!$H34)</f>
        <v>139674.5852413089</v>
      </c>
      <c r="L34" s="29">
        <f>'FF Deposit'!L34+IF(Components!M34&gt;0,K34-Components!M34,K34*(1+EarningsRate))</f>
        <v>158823.93693723137</v>
      </c>
      <c r="M34" s="29">
        <f>'FF Deposit'!M34+IF(Components!N34&gt;0,L34-Components!N34,L34*(1+EarningsRate))</f>
        <v>178375.4250187682</v>
      </c>
      <c r="N34" s="29">
        <f>'FF Deposit'!N34+IF(Components!O34&gt;0,M34-Components!O34,M34*(1+EarningsRate))</f>
        <v>198337.49435001731</v>
      </c>
      <c r="O34" s="29">
        <f>'FF Deposit'!O34+IF(Components!P34&gt;0,N34-Components!P34,N34*(1+EarningsRate))</f>
        <v>218718.76713722263</v>
      </c>
      <c r="P34" s="29">
        <f>'FF Deposit'!P34+IF(Components!Q34&gt;0,O34-Components!Q34,O34*(1+EarningsRate))</f>
        <v>239528.04665295928</v>
      </c>
      <c r="Q34" s="29">
        <f>'FF Deposit'!Q34+IF(Components!R34&gt;0,P34-Components!R34,P34*(1+EarningsRate))</f>
        <v>260774.3210385264</v>
      </c>
      <c r="R34" s="29">
        <f>'FF Deposit'!R34+IF(Components!S34&gt;0,Q34-Components!S34,Q34*(1+EarningsRate))</f>
        <v>282466.76718619035</v>
      </c>
      <c r="S34" s="29">
        <f>'FF Deposit'!S34+IF(Components!T34&gt;0,R34-Components!T34,R34*(1+EarningsRate))</f>
        <v>304614.75470295525</v>
      </c>
      <c r="T34" s="29">
        <f>'FF Deposit'!T34+IF(Components!U34&gt;0,S34-Components!U34,S34*(1+EarningsRate))</f>
        <v>327227.84995757224</v>
      </c>
      <c r="U34" s="29">
        <f>'FF Deposit'!U34+IF(Components!V34&gt;0,T34-Components!V34,T34*(1+EarningsRate))</f>
        <v>350315.8202125362</v>
      </c>
      <c r="V34" s="29">
        <f>'FF Deposit'!V34+IF(Components!W34&gt;0,U34-Components!W34,U34*(1+EarningsRate))</f>
        <v>373888.63784285437</v>
      </c>
      <c r="W34" s="29">
        <f>'FF Deposit'!W34+IF(Components!X34&gt;0,V34-Components!X34,V34*(1+EarningsRate))</f>
        <v>397956.4846434092</v>
      </c>
      <c r="X34" s="29">
        <f>'FF Deposit'!X34+IF(Components!Y34&gt;0,W34-Components!Y34,W34*(1+EarningsRate))</f>
        <v>32265.269771876741</v>
      </c>
      <c r="Y34" s="29">
        <f>'FF Deposit'!Y34+IF(Components!Z34&gt;0,X34-Components!Z34,X34*(1+EarningsRate))</f>
        <v>65209.625565553681</v>
      </c>
      <c r="Z34" s="29">
        <f>'FF Deposit'!Z34+IF(Components!AA34&gt;0,Y34-Components!AA34,Y34*(1+EarningsRate))</f>
        <v>98845.812830897848</v>
      </c>
      <c r="AA34" s="29">
        <f>'FF Deposit'!AA34+IF(Components!AB34&gt;0,Z34-Components!AB34,Z34*(1+EarningsRate))</f>
        <v>133188.36002881423</v>
      </c>
      <c r="AB34" s="29">
        <f>'FF Deposit'!AB34+IF(Components!AC34&gt;0,AA34-Components!AC34,AA34*(1+EarningsRate))</f>
        <v>168252.10071788687</v>
      </c>
      <c r="AC34" s="29">
        <f>'FF Deposit'!AC34+IF(Components!AD34&gt;0,AB34-Components!AD34,AB34*(1+EarningsRate))</f>
        <v>204052.17996143003</v>
      </c>
      <c r="AD34" s="29">
        <f>'FF Deposit'!AD34+IF(Components!AE34&gt;0,AC34-Components!AE34,AC34*(1+EarningsRate))</f>
        <v>240604.06086908758</v>
      </c>
      <c r="AE34" s="29">
        <f>'FF Deposit'!AE34+IF(Components!AF34&gt;0,AD34-Components!AF34,AD34*(1+EarningsRate))</f>
        <v>277923.5312758059</v>
      </c>
      <c r="AF34" s="29">
        <f>'FF Deposit'!AF34+IF(Components!AG34&gt;0,AE34-Components!AG34,AE34*(1+EarningsRate))</f>
        <v>316026.71056106535</v>
      </c>
      <c r="AG34" s="29">
        <f>'FF Deposit'!AG34+IF(Components!AH34&gt;0,AF34-Components!AH34,AF34*(1+EarningsRate))</f>
        <v>354930.05661131523</v>
      </c>
      <c r="AH34" s="29">
        <f>'FF Deposit'!AH34+IF(Components!AI34&gt;0,AG34-Components!AI34,AG34*(1+EarningsRate))</f>
        <v>394650.37292862037</v>
      </c>
      <c r="AI34" s="29">
        <f>'FF Deposit'!AI34+IF(Components!AJ34&gt;0,AH34-Components!AJ34,AH34*(1+EarningsRate))</f>
        <v>435204.8158885889</v>
      </c>
      <c r="AJ34" s="29">
        <f>'FF Deposit'!AJ34+IF(Components!AK34&gt;0,AI34-Components!AK34,AI34*(1+EarningsRate))</f>
        <v>476610.90215071675</v>
      </c>
      <c r="AK34" s="29">
        <f>'FF Deposit'!AK34+IF(Components!AL34&gt;0,AJ34-Components!AL34,AJ34*(1+EarningsRate))</f>
        <v>518886.51622434933</v>
      </c>
      <c r="AL34" s="29">
        <f>'FF Deposit'!AL34+IF(Components!AM34&gt;0,AK34-Components!AM34,AK34*(1+EarningsRate))</f>
        <v>562049.91819352808</v>
      </c>
      <c r="AM34" s="29">
        <f>'FF Deposit'!AM34+IF(Components!AN34&gt;0,AL34-Components!AN34,AL34*(1+EarningsRate))</f>
        <v>606119.75160405959</v>
      </c>
      <c r="AN34" s="29">
        <f>'FF Deposit'!AN34+IF(Components!AO34&gt;0,AM34-Components!AO34,AM34*(1+EarningsRate))</f>
        <v>651115.05151621229</v>
      </c>
      <c r="AO34" s="29">
        <f>'FF Deposit'!AO34+IF(Components!AP34&gt;0,AN34-Components!AP34,AN34*(1+EarningsRate))</f>
        <v>697055.25272652018</v>
      </c>
      <c r="AP34" s="53"/>
    </row>
    <row r="35" spans="1:42" s="1" customFormat="1">
      <c r="A35" s="220" t="str">
        <f>Components!B35</f>
        <v>Club HVAC</v>
      </c>
      <c r="B35" s="220" t="str">
        <f>Components!C35</f>
        <v>Two variable speed motors</v>
      </c>
      <c r="C35" s="211"/>
      <c r="D35" s="211"/>
      <c r="E35" s="82">
        <f>AnalysisYear-Components!I35-Components!J35</f>
        <v>4</v>
      </c>
      <c r="F35" s="82">
        <f>IF(H35&lt;0,Components!K35-MOD(AnalysisYear-Components!I35-Components!J35,Components!K35),AnalysisYear-Components!I35-Components!J35)</f>
        <v>4</v>
      </c>
      <c r="G35" s="11">
        <f>ROUND(Components!H35*IF(H35&lt;0,((1+InflationRate)^F35),((1+InflationRate)^H35)),0)</f>
        <v>10903</v>
      </c>
      <c r="H35" s="82">
        <f>IF(E35&gt;=0,Components!K35-E35,E35)</f>
        <v>1</v>
      </c>
      <c r="I35" s="82"/>
      <c r="J35" s="211"/>
      <c r="K35" s="29">
        <f>IF($H35&gt;0,FV(EarningsRate,F35,-'FF Deposit'!L35,1),Components!$H35)</f>
        <v>8629.7479721397176</v>
      </c>
      <c r="L35" s="29">
        <f>'FF Deposit'!L35+IF(Components!M35&gt;0,K35-Components!M35,K35*(1+EarningsRate))</f>
        <v>10901.890496413451</v>
      </c>
      <c r="M35" s="29">
        <f>'FF Deposit'!M35+IF(Components!N35&gt;0,L35-Components!N35,L35*(1+EarningsRate))</f>
        <v>2482.244953729708</v>
      </c>
      <c r="N35" s="29">
        <f>'FF Deposit'!N35+IF(Components!O35&gt;0,M35-Components!O35,M35*(1+EarningsRate))</f>
        <v>5017.7265550742886</v>
      </c>
      <c r="O35" s="29">
        <f>'FF Deposit'!O35+IF(Components!P35&gt;0,N35-Components!P35,N35*(1+EarningsRate))</f>
        <v>7606.4532700471054</v>
      </c>
      <c r="P35" s="29">
        <f>'FF Deposit'!P35+IF(Components!Q35&gt;0,O35-Components!Q35,O35*(1+EarningsRate))</f>
        <v>10249.543246034351</v>
      </c>
      <c r="Q35" s="29">
        <f>'FF Deposit'!Q35+IF(Components!R35&gt;0,P35-Components!R35,P35*(1+EarningsRate))</f>
        <v>12948.138111517328</v>
      </c>
      <c r="R35" s="29">
        <f>'FF Deposit'!R35+IF(Components!S35&gt;0,Q35-Components!S35,Q35*(1+EarningsRate))</f>
        <v>2947.7336560688768</v>
      </c>
      <c r="S35" s="29">
        <f>'FF Deposit'!S35+IF(Components!T35&gt;0,R35-Components!T35,R35*(1+EarningsRate))</f>
        <v>5959.2316073978718</v>
      </c>
      <c r="T35" s="29">
        <f>'FF Deposit'!T35+IF(Components!U35&gt;0,S35-Components!U35,S35*(1+EarningsRate))</f>
        <v>9033.9710157047757</v>
      </c>
      <c r="U35" s="29">
        <f>'FF Deposit'!U35+IF(Components!V35&gt;0,T35-Components!V35,T35*(1+EarningsRate))</f>
        <v>12173.279951586124</v>
      </c>
      <c r="V35" s="29">
        <f>'FF Deposit'!V35+IF(Components!W35&gt;0,U35-Components!W35,U35*(1+EarningsRate))</f>
        <v>15378.51437512098</v>
      </c>
      <c r="W35" s="29">
        <f>'FF Deposit'!W35+IF(Components!X35&gt;0,V35-Components!X35,V35*(1+EarningsRate))</f>
        <v>3501.5861492679155</v>
      </c>
      <c r="X35" s="29">
        <f>'FF Deposit'!X35+IF(Components!Y35&gt;0,W35-Components!Y35,W35*(1+EarningsRate))</f>
        <v>7078.1912325494777</v>
      </c>
      <c r="Y35" s="29">
        <f>'FF Deposit'!Y35+IF(Components!Z35&gt;0,X35-Components!Z35,X35*(1+EarningsRate))</f>
        <v>10729.905022579951</v>
      </c>
      <c r="Z35" s="29">
        <f>'FF Deposit'!Z35+IF(Components!AA35&gt;0,Y35-Components!AA35,Y35*(1+EarningsRate))</f>
        <v>14458.304802201064</v>
      </c>
      <c r="AA35" s="29">
        <f>'FF Deposit'!AA35+IF(Components!AB35&gt;0,Z35-Components!AB35,Z35*(1+EarningsRate))</f>
        <v>18265.00097719422</v>
      </c>
      <c r="AB35" s="29">
        <f>'FF Deposit'!AB35+IF(Components!AC35&gt;0,AA35-Components!AC35,AA35*(1+EarningsRate))</f>
        <v>4158.6389549797905</v>
      </c>
      <c r="AC35" s="29">
        <f>'FF Deposit'!AC35+IF(Components!AD35&gt;0,AB35-Components!AD35,AB35*(1+EarningsRate))</f>
        <v>8406.6083508199354</v>
      </c>
      <c r="AD35" s="29">
        <f>'FF Deposit'!AD35+IF(Components!AE35&gt;0,AC35-Components!AE35,AC35*(1+EarningsRate))</f>
        <v>12743.785103972725</v>
      </c>
      <c r="AE35" s="29">
        <f>'FF Deposit'!AE35+IF(Components!AF35&gt;0,AD35-Components!AF35,AD35*(1+EarningsRate))</f>
        <v>17172.042568941721</v>
      </c>
      <c r="AF35" s="29">
        <f>'FF Deposit'!AF35+IF(Components!AG35&gt;0,AE35-Components!AG35,AE35*(1+EarningsRate))</f>
        <v>21693.293440675065</v>
      </c>
      <c r="AG35" s="29">
        <f>'FF Deposit'!AG35+IF(Components!AH35&gt;0,AF35-Components!AH35,AF35*(1+EarningsRate))</f>
        <v>4939.7201077828513</v>
      </c>
      <c r="AH35" s="29">
        <f>'FF Deposit'!AH35+IF(Components!AI35&gt;0,AG35-Components!AI35,AG35*(1+EarningsRate))</f>
        <v>9984.8808971540784</v>
      </c>
      <c r="AI35" s="29">
        <f>'FF Deposit'!AI35+IF(Components!AJ35&gt;0,AH35-Components!AJ35,AH35*(1+EarningsRate))</f>
        <v>15135.990063102101</v>
      </c>
      <c r="AJ35" s="29">
        <f>'FF Deposit'!AJ35+IF(Components!AK35&gt;0,AI35-Components!AK35,AI35*(1+EarningsRate))</f>
        <v>20395.272521535029</v>
      </c>
      <c r="AK35" s="29">
        <f>'FF Deposit'!AK35+IF(Components!AL35&gt;0,AJ35-Components!AL35,AJ35*(1+EarningsRate))</f>
        <v>25764.999911595049</v>
      </c>
      <c r="AL35" s="29">
        <f>'FF Deposit'!AL35+IF(Components!AM35&gt;0,AK35-Components!AM35,AK35*(1+EarningsRate))</f>
        <v>5866.8978572676169</v>
      </c>
      <c r="AM35" s="29">
        <f>'FF Deposit'!AM35+IF(Components!AN35&gt;0,AL35-Components!AN35,AL35*(1+EarningsRate))</f>
        <v>11859.000657942805</v>
      </c>
      <c r="AN35" s="29">
        <f>'FF Deposit'!AN35+IF(Components!AO35&gt;0,AM35-Components!AO35,AM35*(1+EarningsRate))</f>
        <v>17976.937617432173</v>
      </c>
      <c r="AO35" s="29">
        <f>'FF Deposit'!AO35+IF(Components!AP35&gt;0,AN35-Components!AP35,AN35*(1+EarningsRate))</f>
        <v>24223.351253070814</v>
      </c>
      <c r="AP35" s="53"/>
    </row>
    <row r="36" spans="1:42" s="1" customFormat="1">
      <c r="A36" s="220" t="str">
        <f>Components!B36</f>
        <v>Club HVAC</v>
      </c>
      <c r="B36" s="220" t="str">
        <f>Components!C36</f>
        <v>Unit #1 Blower Motor</v>
      </c>
      <c r="C36" s="211"/>
      <c r="D36" s="211"/>
      <c r="E36" s="82">
        <f>AnalysisYear-Components!I36-Components!J36</f>
        <v>8</v>
      </c>
      <c r="F36" s="82">
        <f>IF(H36&lt;0,Components!K36-MOD(AnalysisYear-Components!I36-Components!J36,Components!K36),AnalysisYear-Components!I36-Components!J36)</f>
        <v>8</v>
      </c>
      <c r="G36" s="11">
        <f>ROUND(Components!H36*IF(H36&lt;0,((1+InflationRate)^F36),((1+InflationRate)^H36)),0)</f>
        <v>7533</v>
      </c>
      <c r="H36" s="82">
        <f>IF(E36&gt;=0,Components!K36-E36,E36)</f>
        <v>7</v>
      </c>
      <c r="I36" s="82"/>
      <c r="J36" s="211"/>
      <c r="K36" s="29">
        <f>IF($H36&gt;0,FV(EarningsRate,F36,-'FF Deposit'!L36,1),Components!$H36)</f>
        <v>3723.7615938754966</v>
      </c>
      <c r="L36" s="29">
        <f>'FF Deposit'!L36+IF(Components!M36&gt;0,K36-Components!M36,K36*(1+EarningsRate))</f>
        <v>4234.4218472144012</v>
      </c>
      <c r="M36" s="29">
        <f>'FF Deposit'!M36+IF(Components!N36&gt;0,L36-Components!N36,L36*(1+EarningsRate))</f>
        <v>4755.8059658734228</v>
      </c>
      <c r="N36" s="29">
        <f>'FF Deposit'!N36+IF(Components!O36&gt;0,M36-Components!O36,M36*(1+EarningsRate))</f>
        <v>5288.1391510242838</v>
      </c>
      <c r="O36" s="29">
        <f>'FF Deposit'!O36+IF(Components!P36&gt;0,N36-Components!P36,N36*(1+EarningsRate))</f>
        <v>5831.6513330633124</v>
      </c>
      <c r="P36" s="29">
        <f>'FF Deposit'!P36+IF(Components!Q36&gt;0,O36-Components!Q36,O36*(1+EarningsRate))</f>
        <v>6386.5772709251605</v>
      </c>
      <c r="Q36" s="29">
        <f>'FF Deposit'!Q36+IF(Components!R36&gt;0,P36-Components!R36,P36*(1+EarningsRate))</f>
        <v>6953.1566534821077</v>
      </c>
      <c r="R36" s="29">
        <f>'FF Deposit'!R36+IF(Components!S36&gt;0,Q36-Components!S36,Q36*(1+EarningsRate))</f>
        <v>7531.634203072751</v>
      </c>
      <c r="S36" s="29">
        <f>'FF Deposit'!S36+IF(Components!T36&gt;0,R36-Components!T36,R36*(1+EarningsRate))</f>
        <v>723.15766913740481</v>
      </c>
      <c r="T36" s="29">
        <f>'FF Deposit'!T36+IF(Components!U36&gt;0,S36-Components!U36,S36*(1+EarningsRate))</f>
        <v>1462.8674462539441</v>
      </c>
      <c r="U36" s="29">
        <f>'FF Deposit'!U36+IF(Components!V36&gt;0,T36-Components!V36,T36*(1+EarningsRate))</f>
        <v>2218.1111286899304</v>
      </c>
      <c r="V36" s="29">
        <f>'FF Deposit'!V36+IF(Components!W36&gt;0,U36-Components!W36,U36*(1+EarningsRate))</f>
        <v>2989.2149284570723</v>
      </c>
      <c r="W36" s="29">
        <f>'FF Deposit'!W36+IF(Components!X36&gt;0,V36-Components!X36,V36*(1+EarningsRate))</f>
        <v>3776.5119080193244</v>
      </c>
      <c r="X36" s="29">
        <f>'FF Deposit'!X36+IF(Components!Y36&gt;0,W36-Components!Y36,W36*(1+EarningsRate))</f>
        <v>4580.3421241523838</v>
      </c>
      <c r="Y36" s="29">
        <f>'FF Deposit'!Y36+IF(Components!Z36&gt;0,X36-Components!Z36,X36*(1+EarningsRate))</f>
        <v>5401.0527748242375</v>
      </c>
      <c r="Z36" s="29">
        <f>'FF Deposit'!Z36+IF(Components!AA36&gt;0,Y36-Components!AA36,Y36*(1+EarningsRate))</f>
        <v>6238.9983491601997</v>
      </c>
      <c r="AA36" s="29">
        <f>'FF Deposit'!AA36+IF(Components!AB36&gt;0,Z36-Components!AB36,Z36*(1+EarningsRate))</f>
        <v>7094.5407805572167</v>
      </c>
      <c r="AB36" s="29">
        <f>'FF Deposit'!AB36+IF(Components!AC36&gt;0,AA36-Components!AC36,AA36*(1+EarningsRate))</f>
        <v>7968.0496030135719</v>
      </c>
      <c r="AC36" s="29">
        <f>'FF Deposit'!AC36+IF(Components!AD36&gt;0,AB36-Components!AD36,AB36*(1+EarningsRate))</f>
        <v>8859.9021107415101</v>
      </c>
      <c r="AD36" s="29">
        <f>'FF Deposit'!AD36+IF(Components!AE36&gt;0,AC36-Components!AE36,AC36*(1+EarningsRate))</f>
        <v>9770.4835211317331</v>
      </c>
      <c r="AE36" s="29">
        <f>'FF Deposit'!AE36+IF(Components!AF36&gt;0,AD36-Components!AF36,AD36*(1+EarningsRate))</f>
        <v>10700.187141140152</v>
      </c>
      <c r="AF36" s="29">
        <f>'FF Deposit'!AF36+IF(Components!AG36&gt;0,AE36-Components!AG36,AE36*(1+EarningsRate))</f>
        <v>11649.414537168748</v>
      </c>
      <c r="AG36" s="29">
        <f>'FF Deposit'!AG36+IF(Components!AH36&gt;0,AF36-Components!AH36,AF36*(1+EarningsRate))</f>
        <v>12618.575708513945</v>
      </c>
      <c r="AH36" s="29">
        <f>'FF Deposit'!AH36+IF(Components!AI36&gt;0,AG36-Components!AI36,AG36*(1+EarningsRate))</f>
        <v>1212.3665145322552</v>
      </c>
      <c r="AI36" s="29">
        <f>'FF Deposit'!AI36+IF(Components!AJ36&gt;0,AH36-Components!AJ36,AH36*(1+EarningsRate))</f>
        <v>2451.617017355743</v>
      </c>
      <c r="AJ36" s="29">
        <f>'FF Deposit'!AJ36+IF(Components!AK36&gt;0,AI36-Components!AK36,AI36*(1+EarningsRate))</f>
        <v>3716.8917807385237</v>
      </c>
      <c r="AK36" s="29">
        <f>'FF Deposit'!AK36+IF(Components!AL36&gt;0,AJ36-Components!AL36,AJ36*(1+EarningsRate))</f>
        <v>5008.7373141523422</v>
      </c>
      <c r="AL36" s="29">
        <f>'FF Deposit'!AL36+IF(Components!AM36&gt;0,AK36-Components!AM36,AK36*(1+EarningsRate))</f>
        <v>6327.7116037678516</v>
      </c>
      <c r="AM36" s="29">
        <f>'FF Deposit'!AM36+IF(Components!AN36&gt;0,AL36-Components!AN36,AL36*(1+EarningsRate))</f>
        <v>7674.384353465286</v>
      </c>
      <c r="AN36" s="29">
        <f>'FF Deposit'!AN36+IF(Components!AO36&gt;0,AM36-Components!AO36,AM36*(1+EarningsRate))</f>
        <v>9049.337230906367</v>
      </c>
      <c r="AO36" s="29">
        <f>'FF Deposit'!AO36+IF(Components!AP36&gt;0,AN36-Components!AP36,AN36*(1+EarningsRate))</f>
        <v>10453.164118773711</v>
      </c>
      <c r="AP36" s="53"/>
    </row>
    <row r="37" spans="1:42" s="1" customFormat="1">
      <c r="A37" s="220" t="str">
        <f>Components!B37</f>
        <v>Club HVAC</v>
      </c>
      <c r="B37" s="220" t="str">
        <f>Components!C37</f>
        <v>Unit #1 Compressor 1</v>
      </c>
      <c r="C37" s="211"/>
      <c r="D37" s="211"/>
      <c r="E37" s="82">
        <f>AnalysisYear-Components!I37-Components!J37</f>
        <v>8</v>
      </c>
      <c r="F37" s="82">
        <f>IF(H37&lt;0,Components!K37-MOD(AnalysisYear-Components!I37-Components!J37,Components!K37),AnalysisYear-Components!I37-Components!J37)</f>
        <v>8</v>
      </c>
      <c r="G37" s="11">
        <f>ROUND(Components!H37*IF(H37&lt;0,((1+InflationRate)^F37),((1+InflationRate)^H37)),0)</f>
        <v>9633</v>
      </c>
      <c r="H37" s="82">
        <f>IF(E37&gt;=0,Components!K37-E37,E37)</f>
        <v>7</v>
      </c>
      <c r="I37" s="82"/>
      <c r="J37" s="211"/>
      <c r="K37" s="29">
        <f>IF($H37&gt;0,FV(EarningsRate,F37,-'FF Deposit'!L37,1),Components!$H37)</f>
        <v>4762.1764612731076</v>
      </c>
      <c r="L37" s="29">
        <f>'FF Deposit'!L37+IF(Components!M37&gt;0,K37-Components!M37,K37*(1+EarningsRate))</f>
        <v>5415.2021213344351</v>
      </c>
      <c r="M37" s="29">
        <f>'FF Deposit'!M37+IF(Components!N37&gt;0,L37-Components!N37,L37*(1+EarningsRate))</f>
        <v>6081.9413202570504</v>
      </c>
      <c r="N37" s="29">
        <f>'FF Deposit'!N37+IF(Components!O37&gt;0,M37-Components!O37,M37*(1+EarningsRate))</f>
        <v>6762.6820423570407</v>
      </c>
      <c r="O37" s="29">
        <f>'FF Deposit'!O37+IF(Components!P37&gt;0,N37-Components!P37,N37*(1+EarningsRate))</f>
        <v>7457.7183196211308</v>
      </c>
      <c r="P37" s="29">
        <f>'FF Deposit'!P37+IF(Components!Q37&gt;0,O37-Components!Q37,O37*(1+EarningsRate))</f>
        <v>8167.3503587077666</v>
      </c>
      <c r="Q37" s="29">
        <f>'FF Deposit'!Q37+IF(Components!R37&gt;0,P37-Components!R37,P37*(1+EarningsRate))</f>
        <v>8891.8846706152217</v>
      </c>
      <c r="R37" s="29">
        <f>'FF Deposit'!R37+IF(Components!S37&gt;0,Q37-Components!S37,Q37*(1+EarningsRate))</f>
        <v>9631.6342030727337</v>
      </c>
      <c r="S37" s="29">
        <f>'FF Deposit'!S37+IF(Components!T37&gt;0,R37-Components!T37,R37*(1+EarningsRate))</f>
        <v>925.1355370168211</v>
      </c>
      <c r="T37" s="29">
        <f>'FF Deposit'!T37+IF(Components!U37&gt;0,S37-Components!U37,S37*(1+EarningsRate))</f>
        <v>1871.0647172382617</v>
      </c>
      <c r="U37" s="29">
        <f>'FF Deposit'!U37+IF(Components!V37&gt;0,T37-Components!V37,T37*(1+EarningsRate))</f>
        <v>2836.8584102443524</v>
      </c>
      <c r="V37" s="29">
        <f>'FF Deposit'!V37+IF(Components!W37&gt;0,U37-Components!W37,U37*(1+EarningsRate))</f>
        <v>3822.933770803571</v>
      </c>
      <c r="W37" s="29">
        <f>'FF Deposit'!W37+IF(Components!X37&gt;0,V37-Components!X37,V37*(1+EarningsRate))</f>
        <v>4829.7167139345329</v>
      </c>
      <c r="X37" s="29">
        <f>'FF Deposit'!X37+IF(Components!Y37&gt;0,W37-Components!Y37,W37*(1+EarningsRate))</f>
        <v>5857.6420988712453</v>
      </c>
      <c r="Y37" s="29">
        <f>'FF Deposit'!Y37+IF(Components!Z37&gt;0,X37-Components!Z37,X37*(1+EarningsRate))</f>
        <v>6907.1539168916288</v>
      </c>
      <c r="Z37" s="29">
        <f>'FF Deposit'!Z37+IF(Components!AA37&gt;0,Y37-Components!AA37,Y37*(1+EarningsRate))</f>
        <v>7978.7054830904399</v>
      </c>
      <c r="AA37" s="29">
        <f>'FF Deposit'!AA37+IF(Components!AB37&gt;0,Z37-Components!AB37,Z37*(1+EarningsRate))</f>
        <v>9072.7596321794263</v>
      </c>
      <c r="AB37" s="29">
        <f>'FF Deposit'!AB37+IF(Components!AC37&gt;0,AA37-Components!AC37,AA37*(1+EarningsRate))</f>
        <v>10189.788918399279</v>
      </c>
      <c r="AC37" s="29">
        <f>'FF Deposit'!AC37+IF(Components!AD37&gt;0,AB37-Components!AD37,AB37*(1+EarningsRate))</f>
        <v>11330.275819629749</v>
      </c>
      <c r="AD37" s="29">
        <f>'FF Deposit'!AD37+IF(Components!AE37&gt;0,AC37-Components!AE37,AC37*(1+EarningsRate))</f>
        <v>12494.712945786059</v>
      </c>
      <c r="AE37" s="29">
        <f>'FF Deposit'!AE37+IF(Components!AF37&gt;0,AD37-Components!AF37,AD37*(1+EarningsRate))</f>
        <v>13683.603251591652</v>
      </c>
      <c r="AF37" s="29">
        <f>'FF Deposit'!AF37+IF(Components!AG37&gt;0,AE37-Components!AG37,AE37*(1+EarningsRate))</f>
        <v>14897.460253819163</v>
      </c>
      <c r="AG37" s="29">
        <f>'FF Deposit'!AG37+IF(Components!AH37&gt;0,AF37-Components!AH37,AF37*(1+EarningsRate))</f>
        <v>16136.80825309345</v>
      </c>
      <c r="AH37" s="29">
        <f>'FF Deposit'!AH37+IF(Components!AI37&gt;0,AG37-Components!AI37,AG37*(1+EarningsRate))</f>
        <v>1550.0562577154394</v>
      </c>
      <c r="AI37" s="29">
        <f>'FF Deposit'!AI37+IF(Components!AJ37&gt;0,AH37-Components!AJ37,AH37*(1+EarningsRate))</f>
        <v>3134.8554437494531</v>
      </c>
      <c r="AJ37" s="29">
        <f>'FF Deposit'!AJ37+IF(Components!AK37&gt;0,AI37-Components!AK37,AI37*(1+EarningsRate))</f>
        <v>4752.9354126901808</v>
      </c>
      <c r="AK37" s="29">
        <f>'FF Deposit'!AK37+IF(Components!AL37&gt;0,AJ37-Components!AL37,AJ37*(1+EarningsRate))</f>
        <v>6404.9950609786638</v>
      </c>
      <c r="AL37" s="29">
        <f>'FF Deposit'!AL37+IF(Components!AM37&gt;0,AK37-Components!AM37,AK37*(1+EarningsRate))</f>
        <v>8091.7479618812049</v>
      </c>
      <c r="AM37" s="29">
        <f>'FF Deposit'!AM37+IF(Components!AN37&gt;0,AL37-Components!AN37,AL37*(1+EarningsRate))</f>
        <v>9813.9226737026984</v>
      </c>
      <c r="AN37" s="29">
        <f>'FF Deposit'!AN37+IF(Components!AO37&gt;0,AM37-Components!AO37,AM37*(1+EarningsRate))</f>
        <v>11572.263054472443</v>
      </c>
      <c r="AO37" s="29">
        <f>'FF Deposit'!AO37+IF(Components!AP37&gt;0,AN37-Components!AP37,AN37*(1+EarningsRate))</f>
        <v>13367.528583238354</v>
      </c>
      <c r="AP37" s="53"/>
    </row>
    <row r="38" spans="1:42" s="1" customFormat="1">
      <c r="A38" s="220" t="str">
        <f>Components!B38</f>
        <v>Club HVAC</v>
      </c>
      <c r="B38" s="220" t="str">
        <f>Components!C38</f>
        <v>Unit #1 Compressor 2</v>
      </c>
      <c r="C38" s="211"/>
      <c r="D38" s="211"/>
      <c r="E38" s="82">
        <f>AnalysisYear-Components!I38-Components!J38</f>
        <v>8</v>
      </c>
      <c r="F38" s="82">
        <f>IF(H38&lt;0,Components!K38-MOD(AnalysisYear-Components!I38-Components!J38,Components!K38),AnalysisYear-Components!I38-Components!J38)</f>
        <v>8</v>
      </c>
      <c r="G38" s="11">
        <f>ROUND(Components!H38*IF(H38&lt;0,((1+InflationRate)^F38),((1+InflationRate)^H38)),0)</f>
        <v>7992</v>
      </c>
      <c r="H38" s="82">
        <f>IF(E38&gt;=0,Components!K38-E38,E38)</f>
        <v>7</v>
      </c>
      <c r="I38" s="82"/>
      <c r="J38" s="211"/>
      <c r="K38" s="29">
        <f>IF($H38&gt;0,FV(EarningsRate,F38,-'FF Deposit'!L38,1),Components!$H38)</f>
        <v>3950.7294148924029</v>
      </c>
      <c r="L38" s="29">
        <f>'FF Deposit'!L38+IF(Components!M38&gt;0,K38-Components!M38,K38*(1+EarningsRate))</f>
        <v>4492.5066785577801</v>
      </c>
      <c r="M38" s="29">
        <f>'FF Deposit'!M38+IF(Components!N38&gt;0,L38-Components!N38,L38*(1+EarningsRate))</f>
        <v>5045.6612647601296</v>
      </c>
      <c r="N38" s="29">
        <f>'FF Deposit'!N38+IF(Components!O38&gt;0,M38-Components!O38,M38*(1+EarningsRate))</f>
        <v>5610.4320972727292</v>
      </c>
      <c r="O38" s="29">
        <f>'FF Deposit'!O38+IF(Components!P38&gt;0,N38-Components!P38,N38*(1+EarningsRate))</f>
        <v>6187.0631172680933</v>
      </c>
      <c r="P38" s="29">
        <f>'FF Deposit'!P38+IF(Components!Q38&gt;0,O38-Components!Q38,O38*(1+EarningsRate))</f>
        <v>6775.80338868336</v>
      </c>
      <c r="Q38" s="29">
        <f>'FF Deposit'!Q38+IF(Components!R38&gt;0,P38-Components!R38,P38*(1+EarningsRate))</f>
        <v>7376.9072057983467</v>
      </c>
      <c r="R38" s="29">
        <f>'FF Deposit'!R38+IF(Components!S38&gt;0,Q38-Components!S38,Q38*(1+EarningsRate))</f>
        <v>7990.6342030727483</v>
      </c>
      <c r="S38" s="29">
        <f>'FF Deposit'!S38+IF(Components!T38&gt;0,R38-Components!T38,R38*(1+EarningsRate))</f>
        <v>767.30426025962106</v>
      </c>
      <c r="T38" s="29">
        <f>'FF Deposit'!T38+IF(Components!U38&gt;0,S38-Components!U38,S38*(1+EarningsRate))</f>
        <v>1552.0877069119458</v>
      </c>
      <c r="U38" s="29">
        <f>'FF Deposit'!U38+IF(Components!V38&gt;0,T38-Components!V38,T38*(1+EarningsRate))</f>
        <v>2353.3516059439694</v>
      </c>
      <c r="V38" s="29">
        <f>'FF Deposit'!V38+IF(Components!W38&gt;0,U38-Components!W38,U38*(1+EarningsRate))</f>
        <v>3171.4420468556655</v>
      </c>
      <c r="W38" s="29">
        <f>'FF Deposit'!W38+IF(Components!X38&gt;0,V38-Components!X38,V38*(1+EarningsRate))</f>
        <v>4006.7123870265068</v>
      </c>
      <c r="X38" s="29">
        <f>'FF Deposit'!X38+IF(Components!Y38&gt;0,W38-Components!Y38,W38*(1+EarningsRate))</f>
        <v>4859.5234043409364</v>
      </c>
      <c r="Y38" s="29">
        <f>'FF Deposit'!Y38+IF(Components!Z38&gt;0,X38-Components!Z38,X38*(1+EarningsRate))</f>
        <v>5730.2434530189676</v>
      </c>
      <c r="Z38" s="29">
        <f>'FF Deposit'!Z38+IF(Components!AA38&gt;0,Y38-Components!AA38,Y38*(1+EarningsRate))</f>
        <v>6619.2486227192385</v>
      </c>
      <c r="AA38" s="29">
        <f>'FF Deposit'!AA38+IF(Components!AB38&gt;0,Z38-Components!AB38,Z38*(1+EarningsRate))</f>
        <v>7526.9229009832143</v>
      </c>
      <c r="AB38" s="29">
        <f>'FF Deposit'!AB38+IF(Components!AC38&gt;0,AA38-Components!AC38,AA38*(1+EarningsRate))</f>
        <v>8453.6583390907344</v>
      </c>
      <c r="AC38" s="29">
        <f>'FF Deposit'!AC38+IF(Components!AD38&gt;0,AB38-Components!AD38,AB38*(1+EarningsRate))</f>
        <v>9399.8552213985131</v>
      </c>
      <c r="AD38" s="29">
        <f>'FF Deposit'!AD38+IF(Components!AE38&gt;0,AC38-Components!AE38,AC38*(1+EarningsRate))</f>
        <v>10365.922238234754</v>
      </c>
      <c r="AE38" s="29">
        <f>'FF Deposit'!AE38+IF(Components!AF38&gt;0,AD38-Components!AF38,AD38*(1+EarningsRate))</f>
        <v>11352.276662424556</v>
      </c>
      <c r="AF38" s="29">
        <f>'FF Deposit'!AF38+IF(Components!AG38&gt;0,AE38-Components!AG38,AE38*(1+EarningsRate))</f>
        <v>12359.344529522345</v>
      </c>
      <c r="AG38" s="29">
        <f>'FF Deposit'!AG38+IF(Components!AH38&gt;0,AF38-Components!AH38,AF38*(1+EarningsRate))</f>
        <v>13387.560821829185</v>
      </c>
      <c r="AH38" s="29">
        <f>'FF Deposit'!AH38+IF(Components!AI38&gt;0,AG38-Components!AI38,AG38*(1+EarningsRate))</f>
        <v>1286.3139994662026</v>
      </c>
      <c r="AI38" s="29">
        <f>'FF Deposit'!AI38+IF(Components!AJ38&gt;0,AH38-Components!AJ38,AH38*(1+EarningsRate))</f>
        <v>2601.0797710920097</v>
      </c>
      <c r="AJ38" s="29">
        <f>'FF Deposit'!AJ38+IF(Components!AK38&gt;0,AI38-Components!AK38,AI38*(1+EarningsRate))</f>
        <v>3943.4556239219592</v>
      </c>
      <c r="AK38" s="29">
        <f>'FF Deposit'!AK38+IF(Components!AL38&gt;0,AJ38-Components!AL38,AJ38*(1+EarningsRate))</f>
        <v>5314.0213696613373</v>
      </c>
      <c r="AL38" s="29">
        <f>'FF Deposit'!AL38+IF(Components!AM38&gt;0,AK38-Components!AM38,AK38*(1+EarningsRate))</f>
        <v>6713.3689960612419</v>
      </c>
      <c r="AM38" s="29">
        <f>'FF Deposit'!AM38+IF(Components!AN38&gt;0,AL38-Components!AN38,AL38*(1+EarningsRate))</f>
        <v>8142.1029226155442</v>
      </c>
      <c r="AN38" s="29">
        <f>'FF Deposit'!AN38+IF(Components!AO38&gt;0,AM38-Components!AO38,AM38*(1+EarningsRate))</f>
        <v>9600.8402616274871</v>
      </c>
      <c r="AO38" s="29">
        <f>'FF Deposit'!AO38+IF(Components!AP38&gt;0,AN38-Components!AP38,AN38*(1+EarningsRate))</f>
        <v>11090.211084758681</v>
      </c>
      <c r="AP38" s="53"/>
    </row>
    <row r="39" spans="1:42" s="1" customFormat="1">
      <c r="A39" s="220" t="str">
        <f>Components!B39</f>
        <v>Club HVAC</v>
      </c>
      <c r="B39" s="220" t="str">
        <f>Components!C39</f>
        <v>Unit #1 Condensing Coil</v>
      </c>
      <c r="C39" s="211"/>
      <c r="D39" s="211"/>
      <c r="E39" s="82">
        <f>AnalysisYear-Components!I39-Components!J39</f>
        <v>8</v>
      </c>
      <c r="F39" s="82">
        <f>IF(H39&lt;0,Components!K39-MOD(AnalysisYear-Components!I39-Components!J39,Components!K39),AnalysisYear-Components!I39-Components!J39)</f>
        <v>8</v>
      </c>
      <c r="G39" s="11">
        <f>ROUND(Components!H39*IF(H39&lt;0,((1+InflationRate)^F39),((1+InflationRate)^H39)),0)</f>
        <v>21050</v>
      </c>
      <c r="H39" s="82">
        <f>IF(E39&gt;=0,Components!K39-E39,E39)</f>
        <v>7</v>
      </c>
      <c r="I39" s="82"/>
      <c r="J39" s="211"/>
      <c r="K39" s="29">
        <f>IF($H39&gt;0,FV(EarningsRate,F39,-'FF Deposit'!L39,1),Components!$H39)</f>
        <v>10407.691957024794</v>
      </c>
      <c r="L39" s="29">
        <f>'FF Deposit'!L39+IF(Components!M39&gt;0,K39-Components!M39,K39*(1+EarningsRate))</f>
        <v>11834.710878300366</v>
      </c>
      <c r="M39" s="29">
        <f>'FF Deposit'!M39+IF(Components!N39&gt;0,L39-Components!N39,L39*(1+EarningsRate))</f>
        <v>13291.697196922725</v>
      </c>
      <c r="N39" s="29">
        <f>'FF Deposit'!N39+IF(Components!O39&gt;0,M39-Components!O39,M39*(1+EarningsRate))</f>
        <v>14779.280228236154</v>
      </c>
      <c r="O39" s="29">
        <f>'FF Deposit'!O39+IF(Components!P39&gt;0,N39-Components!P39,N39*(1+EarningsRate))</f>
        <v>16298.102503207165</v>
      </c>
      <c r="P39" s="29">
        <f>'FF Deposit'!P39+IF(Components!Q39&gt;0,O39-Components!Q39,O39*(1+EarningsRate))</f>
        <v>17848.820045952565</v>
      </c>
      <c r="Q39" s="29">
        <f>'FF Deposit'!Q39+IF(Components!R39&gt;0,P39-Components!R39,P39*(1+EarningsRate))</f>
        <v>19432.10265709562</v>
      </c>
      <c r="R39" s="29">
        <f>'FF Deposit'!R39+IF(Components!S39&gt;0,Q39-Components!S39,Q39*(1+EarningsRate))</f>
        <v>21048.634203072681</v>
      </c>
      <c r="S39" s="29">
        <f>'FF Deposit'!S39+IF(Components!T39&gt;0,R39-Components!T39,R39*(1+EarningsRate))</f>
        <v>2023.2218787212885</v>
      </c>
      <c r="T39" s="29">
        <f>'FF Deposit'!T39+IF(Components!U39&gt;0,S39-Components!U39,S39*(1+EarningsRate))</f>
        <v>4090.2972138230425</v>
      </c>
      <c r="U39" s="29">
        <f>'FF Deposit'!U39+IF(Components!V39&gt;0,T39-Components!V39,T39*(1+EarningsRate))</f>
        <v>6200.7811309619337</v>
      </c>
      <c r="V39" s="29">
        <f>'FF Deposit'!V39+IF(Components!W39&gt;0,U39-Components!W39,U39*(1+EarningsRate))</f>
        <v>8355.5852103607413</v>
      </c>
      <c r="W39" s="29">
        <f>'FF Deposit'!W39+IF(Components!X39&gt;0,V39-Components!X39,V39*(1+EarningsRate))</f>
        <v>10555.640175426923</v>
      </c>
      <c r="X39" s="29">
        <f>'FF Deposit'!X39+IF(Components!Y39&gt;0,W39-Components!Y39,W39*(1+EarningsRate))</f>
        <v>12801.896294759494</v>
      </c>
      <c r="Y39" s="29">
        <f>'FF Deposit'!Y39+IF(Components!Z39&gt;0,X39-Components!Z39,X39*(1+EarningsRate))</f>
        <v>15095.323792598048</v>
      </c>
      <c r="Z39" s="29">
        <f>'FF Deposit'!Z39+IF(Components!AA39&gt;0,Y39-Components!AA39,Y39*(1+EarningsRate))</f>
        <v>17436.913267891214</v>
      </c>
      <c r="AA39" s="29">
        <f>'FF Deposit'!AA39+IF(Components!AB39&gt;0,Z39-Components!AB39,Z39*(1+EarningsRate))</f>
        <v>19827.676122165536</v>
      </c>
      <c r="AB39" s="29">
        <f>'FF Deposit'!AB39+IF(Components!AC39&gt;0,AA39-Components!AC39,AA39*(1+EarningsRate))</f>
        <v>22268.644996379619</v>
      </c>
      <c r="AC39" s="29">
        <f>'FF Deposit'!AC39+IF(Components!AD39&gt;0,AB39-Components!AD39,AB39*(1+EarningsRate))</f>
        <v>24760.874216952194</v>
      </c>
      <c r="AD39" s="29">
        <f>'FF Deposit'!AD39+IF(Components!AE39&gt;0,AC39-Components!AE39,AC39*(1+EarningsRate))</f>
        <v>27305.440251156793</v>
      </c>
      <c r="AE39" s="29">
        <f>'FF Deposit'!AE39+IF(Components!AF39&gt;0,AD39-Components!AF39,AD39*(1+EarningsRate))</f>
        <v>29903.442172079689</v>
      </c>
      <c r="AF39" s="29">
        <f>'FF Deposit'!AF39+IF(Components!AG39&gt;0,AE39-Components!AG39,AE39*(1+EarningsRate))</f>
        <v>32556.002133341968</v>
      </c>
      <c r="AG39" s="29">
        <f>'FF Deposit'!AG39+IF(Components!AH39&gt;0,AF39-Components!AH39,AF39*(1+EarningsRate))</f>
        <v>35264.265853790756</v>
      </c>
      <c r="AH39" s="29">
        <f>'FF Deposit'!AH39+IF(Components!AI39&gt;0,AG39-Components!AI39,AG39*(1+EarningsRate))</f>
        <v>3390.1475150460433</v>
      </c>
      <c r="AI39" s="29">
        <f>'FF Deposit'!AI39+IF(Components!AJ39&gt;0,AH39-Components!AJ39,AH39*(1+EarningsRate))</f>
        <v>6853.2222741172973</v>
      </c>
      <c r="AJ39" s="29">
        <f>'FF Deposit'!AJ39+IF(Components!AK39&gt;0,AI39-Components!AK39,AI39*(1+EarningsRate))</f>
        <v>10389.021603129047</v>
      </c>
      <c r="AK39" s="29">
        <f>'FF Deposit'!AK39+IF(Components!AL39&gt;0,AJ39-Components!AL39,AJ39*(1+EarningsRate))</f>
        <v>13999.072718050043</v>
      </c>
      <c r="AL39" s="29">
        <f>'FF Deposit'!AL39+IF(Components!AM39&gt;0,AK39-Components!AM39,AK39*(1+EarningsRate))</f>
        <v>17684.93490638438</v>
      </c>
      <c r="AM39" s="29">
        <f>'FF Deposit'!AM39+IF(Components!AN39&gt;0,AL39-Components!AN39,AL39*(1+EarningsRate))</f>
        <v>21448.200200673738</v>
      </c>
      <c r="AN39" s="29">
        <f>'FF Deposit'!AN39+IF(Components!AO39&gt;0,AM39-Components!AO39,AM39*(1+EarningsRate))</f>
        <v>25290.494066143172</v>
      </c>
      <c r="AO39" s="29">
        <f>'FF Deposit'!AO39+IF(Components!AP39&gt;0,AN39-Components!AP39,AN39*(1+EarningsRate))</f>
        <v>29213.476102787463</v>
      </c>
      <c r="AP39" s="53"/>
    </row>
    <row r="40" spans="1:42" s="1" customFormat="1">
      <c r="A40" s="220" t="str">
        <f>Components!B40</f>
        <v>Club HVAC</v>
      </c>
      <c r="B40" s="220" t="str">
        <f>Components!C40</f>
        <v>Unit #1 Motherboard</v>
      </c>
      <c r="C40" s="211"/>
      <c r="D40" s="211"/>
      <c r="E40" s="82">
        <f>AnalysisYear-Components!I40-Components!J40</f>
        <v>8</v>
      </c>
      <c r="F40" s="82">
        <f>IF(H40&lt;0,Components!K40-MOD(AnalysisYear-Components!I40-Components!J40,Components!K40),AnalysisYear-Components!I40-Components!J40)</f>
        <v>8</v>
      </c>
      <c r="G40" s="11">
        <f>ROUND(Components!H40*IF(H40&lt;0,((1+InflationRate)^F40),((1+InflationRate)^H40)),0)</f>
        <v>7028</v>
      </c>
      <c r="H40" s="82">
        <f>IF(E40&gt;=0,Components!K40-E40,E40)</f>
        <v>7</v>
      </c>
      <c r="I40" s="82"/>
      <c r="J40" s="211"/>
      <c r="K40" s="29">
        <f>IF($H40&gt;0,FV(EarningsRate,F40,-'FF Deposit'!L40,1),Components!$H40)</f>
        <v>3474.0475424298802</v>
      </c>
      <c r="L40" s="29">
        <f>'FF Deposit'!L40+IF(Components!M40&gt;0,K40-Components!M40,K40*(1+EarningsRate))</f>
        <v>3950.4723051045821</v>
      </c>
      <c r="M40" s="29">
        <f>'FF Deposit'!M40+IF(Components!N40&gt;0,L40-Components!N40,L40*(1+EarningsRate))</f>
        <v>4436.9019877954534</v>
      </c>
      <c r="N40" s="29">
        <f>'FF Deposit'!N40+IF(Components!O40&gt;0,M40-Components!O40,M40*(1+EarningsRate))</f>
        <v>4933.5466938228328</v>
      </c>
      <c r="O40" s="29">
        <f>'FF Deposit'!O40+IF(Components!P40&gt;0,N40-Components!P40,N40*(1+EarningsRate))</f>
        <v>5440.6209386767869</v>
      </c>
      <c r="P40" s="29">
        <f>'FF Deposit'!P40+IF(Components!Q40&gt;0,O40-Components!Q40,O40*(1+EarningsRate))</f>
        <v>5958.3437426726741</v>
      </c>
      <c r="Q40" s="29">
        <f>'FF Deposit'!Q40+IF(Components!R40&gt;0,P40-Components!R40,P40*(1+EarningsRate))</f>
        <v>6486.9387255524753</v>
      </c>
      <c r="R40" s="29">
        <f>'FF Deposit'!R40+IF(Components!S40&gt;0,Q40-Components!S40,Q40*(1+EarningsRate))</f>
        <v>7026.6342030727519</v>
      </c>
      <c r="S40" s="29">
        <f>'FF Deposit'!S40+IF(Components!T40&gt;0,R40-Components!T40,R40*(1+EarningsRate))</f>
        <v>674.58680090925623</v>
      </c>
      <c r="T40" s="29">
        <f>'FF Deposit'!T40+IF(Components!U40&gt;0,S40-Components!U40,S40*(1+EarningsRate))</f>
        <v>1364.7057215648547</v>
      </c>
      <c r="U40" s="29">
        <f>'FF Deposit'!U40+IF(Components!V40&gt;0,T40-Components!V40,T40*(1+EarningsRate))</f>
        <v>2069.3171395542208</v>
      </c>
      <c r="V40" s="29">
        <f>'FF Deposit'!V40+IF(Components!W40&gt;0,U40-Components!W40,U40*(1+EarningsRate))</f>
        <v>2788.7253973213637</v>
      </c>
      <c r="W40" s="29">
        <f>'FF Deposit'!W40+IF(Components!X40&gt;0,V40-Components!X40,V40*(1+EarningsRate))</f>
        <v>3523.2412285016162</v>
      </c>
      <c r="X40" s="29">
        <f>'FF Deposit'!X40+IF(Components!Y40&gt;0,W40-Components!Y40,W40*(1+EarningsRate))</f>
        <v>4273.1818921366539</v>
      </c>
      <c r="Y40" s="29">
        <f>'FF Deposit'!Y40+IF(Components!Z40&gt;0,X40-Components!Z40,X40*(1+EarningsRate))</f>
        <v>5038.8713097080281</v>
      </c>
      <c r="Z40" s="29">
        <f>'FF Deposit'!Z40+IF(Components!AA40&gt;0,Y40-Components!AA40,Y40*(1+EarningsRate))</f>
        <v>5820.6402050484012</v>
      </c>
      <c r="AA40" s="29">
        <f>'FF Deposit'!AA40+IF(Components!AB40&gt;0,Z40-Components!AB40,Z40*(1+EarningsRate))</f>
        <v>6618.826247190922</v>
      </c>
      <c r="AB40" s="29">
        <f>'FF Deposit'!AB40+IF(Components!AC40&gt;0,AA40-Components!AC40,AA40*(1+EarningsRate))</f>
        <v>7433.7741962184355</v>
      </c>
      <c r="AC40" s="29">
        <f>'FF Deposit'!AC40+IF(Components!AD40&gt;0,AB40-Components!AD40,AB40*(1+EarningsRate))</f>
        <v>8265.8360521755258</v>
      </c>
      <c r="AD40" s="29">
        <f>'FF Deposit'!AD40+IF(Components!AE40&gt;0,AC40-Components!AE40,AC40*(1+EarningsRate))</f>
        <v>9115.3712071077152</v>
      </c>
      <c r="AE40" s="29">
        <f>'FF Deposit'!AE40+IF(Components!AF40&gt;0,AD40-Components!AF40,AD40*(1+EarningsRate))</f>
        <v>9982.7466002934798</v>
      </c>
      <c r="AF40" s="29">
        <f>'FF Deposit'!AF40+IF(Components!AG40&gt;0,AE40-Components!AG40,AE40*(1+EarningsRate))</f>
        <v>10868.336876736146</v>
      </c>
      <c r="AG40" s="29">
        <f>'FF Deposit'!AG40+IF(Components!AH40&gt;0,AF40-Components!AH40,AF40*(1+EarningsRate))</f>
        <v>11772.524548984107</v>
      </c>
      <c r="AH40" s="29">
        <f>'FF Deposit'!AH40+IF(Components!AI40&gt;0,AG40-Components!AI40,AG40*(1+EarningsRate))</f>
        <v>1130.0433081652168</v>
      </c>
      <c r="AI40" s="29">
        <f>'FF Deposit'!AI40+IF(Components!AJ40&gt;0,AH40-Components!AJ40,AH40*(1+EarningsRate))</f>
        <v>2286.2929768177955</v>
      </c>
      <c r="AJ40" s="29">
        <f>'FF Deposit'!AJ40+IF(Components!AK40&gt;0,AI40-Components!AK40,AI40*(1+EarningsRate))</f>
        <v>3466.8238885120786</v>
      </c>
      <c r="AK40" s="29">
        <f>'FF Deposit'!AK40+IF(Components!AL40&gt;0,AJ40-Components!AL40,AJ40*(1+EarningsRate))</f>
        <v>4672.1459493519415</v>
      </c>
      <c r="AL40" s="29">
        <f>'FF Deposit'!AL40+IF(Components!AM40&gt;0,AK40-Components!AM40,AK40*(1+EarningsRate))</f>
        <v>5902.7797734694414</v>
      </c>
      <c r="AM40" s="29">
        <f>'FF Deposit'!AM40+IF(Components!AN40&gt;0,AL40-Components!AN40,AL40*(1+EarningsRate))</f>
        <v>7159.2569078934084</v>
      </c>
      <c r="AN40" s="29">
        <f>'FF Deposit'!AN40+IF(Components!AO40&gt;0,AM40-Components!AO40,AM40*(1+EarningsRate))</f>
        <v>8442.1200621402786</v>
      </c>
      <c r="AO40" s="29">
        <f>'FF Deposit'!AO40+IF(Components!AP40&gt;0,AN40-Components!AP40,AN40*(1+EarningsRate))</f>
        <v>9751.9233426263345</v>
      </c>
      <c r="AP40" s="53"/>
    </row>
    <row r="41" spans="1:42" s="1" customFormat="1">
      <c r="A41" s="220" t="str">
        <f>Components!B41</f>
        <v>Club HVAC</v>
      </c>
      <c r="B41" s="220" t="str">
        <f>Components!C41</f>
        <v>Unit #1 Outdoor Coil</v>
      </c>
      <c r="C41" s="211"/>
      <c r="D41" s="211"/>
      <c r="E41" s="82">
        <f>AnalysisYear-Components!I41-Components!J41</f>
        <v>8</v>
      </c>
      <c r="F41" s="82">
        <f>IF(H41&lt;0,Components!K41-MOD(AnalysisYear-Components!I41-Components!J41,Components!K41),AnalysisYear-Components!I41-Components!J41)</f>
        <v>8</v>
      </c>
      <c r="G41" s="11">
        <f>ROUND(Components!H41*IF(H41&lt;0,((1+InflationRate)^F41),((1+InflationRate)^H41)),0)</f>
        <v>6932</v>
      </c>
      <c r="H41" s="82">
        <f>IF(E41&gt;=0,Components!K41-E41,E41)</f>
        <v>7</v>
      </c>
      <c r="I41" s="82"/>
      <c r="J41" s="211"/>
      <c r="K41" s="29">
        <f>IF($H41&gt;0,FV(EarningsRate,F41,-'FF Deposit'!L41,1),Components!$H41)</f>
        <v>3426.5771484917032</v>
      </c>
      <c r="L41" s="29">
        <f>'FF Deposit'!L41+IF(Components!M41&gt;0,K41-Components!M41,K41*(1+EarningsRate))</f>
        <v>3896.4937782876659</v>
      </c>
      <c r="M41" s="29">
        <f>'FF Deposit'!M41+IF(Components!N41&gt;0,L41-Components!N41,L41*(1+EarningsRate))</f>
        <v>4376.2786573093445</v>
      </c>
      <c r="N41" s="29">
        <f>'FF Deposit'!N41+IF(Components!O41&gt;0,M41-Components!O41,M41*(1+EarningsRate))</f>
        <v>4866.1390187904772</v>
      </c>
      <c r="O41" s="29">
        <f>'FF Deposit'!O41+IF(Components!P41&gt;0,N41-Components!P41,N41*(1+EarningsRate))</f>
        <v>5366.2864478627143</v>
      </c>
      <c r="P41" s="29">
        <f>'FF Deposit'!P41+IF(Components!Q41&gt;0,O41-Components!Q41,O41*(1+EarningsRate))</f>
        <v>5876.9369729454684</v>
      </c>
      <c r="Q41" s="29">
        <f>'FF Deposit'!Q41+IF(Components!R41&gt;0,P41-Components!R41,P41*(1+EarningsRate))</f>
        <v>6398.3111590549597</v>
      </c>
      <c r="R41" s="29">
        <f>'FF Deposit'!R41+IF(Components!S41&gt;0,Q41-Components!S41,Q41*(1+EarningsRate))</f>
        <v>6930.6342030727501</v>
      </c>
      <c r="S41" s="29">
        <f>'FF Deposit'!S41+IF(Components!T41&gt;0,R41-Components!T41,R41*(1+EarningsRate))</f>
        <v>665.3535269490518</v>
      </c>
      <c r="T41" s="29">
        <f>'FF Deposit'!T41+IF(Components!U41&gt;0,S41-Components!U41,S41*(1+EarningsRate))</f>
        <v>1346.0452748912835</v>
      </c>
      <c r="U41" s="29">
        <f>'FF Deposit'!U41+IF(Components!V41&gt;0,T41-Components!V41,T41*(1+EarningsRate))</f>
        <v>2041.031549540302</v>
      </c>
      <c r="V41" s="29">
        <f>'FF Deposit'!V41+IF(Components!W41&gt;0,U41-Components!W41,U41*(1+EarningsRate))</f>
        <v>2750.6125359569496</v>
      </c>
      <c r="W41" s="29">
        <f>'FF Deposit'!W41+IF(Components!X41&gt;0,V41-Components!X41,V41*(1+EarningsRate))</f>
        <v>3475.0947230883471</v>
      </c>
      <c r="X41" s="29">
        <f>'FF Deposit'!X41+IF(Components!Y41&gt;0,W41-Components!Y41,W41*(1+EarningsRate))</f>
        <v>4214.7910361495042</v>
      </c>
      <c r="Y41" s="29">
        <f>'FF Deposit'!Y41+IF(Components!Z41&gt;0,X41-Components!Z41,X41*(1+EarningsRate))</f>
        <v>4970.0209717849457</v>
      </c>
      <c r="Z41" s="29">
        <f>'FF Deposit'!Z41+IF(Components!AA41&gt;0,Y41-Components!AA41,Y41*(1+EarningsRate))</f>
        <v>5741.1107360687311</v>
      </c>
      <c r="AA41" s="29">
        <f>'FF Deposit'!AA41+IF(Components!AB41&gt;0,Z41-Components!AB41,Z41*(1+EarningsRate))</f>
        <v>6528.3933854024763</v>
      </c>
      <c r="AB41" s="29">
        <f>'FF Deposit'!AB41+IF(Components!AC41&gt;0,AA41-Components!AC41,AA41*(1+EarningsRate))</f>
        <v>7332.2089703722295</v>
      </c>
      <c r="AC41" s="29">
        <f>'FF Deposit'!AC41+IF(Components!AD41&gt;0,AB41-Components!AD41,AB41*(1+EarningsRate))</f>
        <v>8152.9046826263475</v>
      </c>
      <c r="AD41" s="29">
        <f>'FF Deposit'!AD41+IF(Components!AE41&gt;0,AC41-Components!AE41,AC41*(1+EarningsRate))</f>
        <v>8990.8350048378015</v>
      </c>
      <c r="AE41" s="29">
        <f>'FF Deposit'!AE41+IF(Components!AF41&gt;0,AD41-Components!AF41,AD41*(1+EarningsRate))</f>
        <v>9846.361863815695</v>
      </c>
      <c r="AF41" s="29">
        <f>'FF Deposit'!AF41+IF(Components!AG41&gt;0,AE41-Components!AG41,AE41*(1+EarningsRate))</f>
        <v>10719.854786832126</v>
      </c>
      <c r="AG41" s="29">
        <f>'FF Deposit'!AG41+IF(Components!AH41&gt;0,AF41-Components!AH41,AF41*(1+EarningsRate))</f>
        <v>11611.691061231901</v>
      </c>
      <c r="AH41" s="29">
        <f>'FF Deposit'!AH41+IF(Components!AI41&gt;0,AG41-Components!AI41,AG41*(1+EarningsRate))</f>
        <v>1115.6286706051683</v>
      </c>
      <c r="AI41" s="29">
        <f>'FF Deposit'!AI41+IF(Components!AJ41&gt;0,AH41-Components!AJ41,AH41*(1+EarningsRate))</f>
        <v>2255.9944820611445</v>
      </c>
      <c r="AJ41" s="29">
        <f>'FF Deposit'!AJ41+IF(Components!AK41&gt;0,AI41-Components!AK41,AI41*(1+EarningsRate))</f>
        <v>3420.307975557696</v>
      </c>
      <c r="AK41" s="29">
        <f>'FF Deposit'!AK41+IF(Components!AL41&gt;0,AJ41-Components!AL41,AJ41*(1+EarningsRate))</f>
        <v>4609.072052417675</v>
      </c>
      <c r="AL41" s="29">
        <f>'FF Deposit'!AL41+IF(Components!AM41&gt;0,AK41-Components!AM41,AK41*(1+EarningsRate))</f>
        <v>5822.8001748917141</v>
      </c>
      <c r="AM41" s="29">
        <f>'FF Deposit'!AM41+IF(Components!AN41&gt;0,AL41-Components!AN41,AL41*(1+EarningsRate))</f>
        <v>7062.0165879377073</v>
      </c>
      <c r="AN41" s="29">
        <f>'FF Deposit'!AN41+IF(Components!AO41&gt;0,AM41-Components!AO41,AM41*(1+EarningsRate))</f>
        <v>8327.2565456576667</v>
      </c>
      <c r="AO41" s="29">
        <f>'FF Deposit'!AO41+IF(Components!AP41&gt;0,AN41-Components!AP41,AN41*(1+EarningsRate))</f>
        <v>9619.0665424897452</v>
      </c>
      <c r="AP41" s="53"/>
    </row>
    <row r="42" spans="1:42" s="1" customFormat="1">
      <c r="A42" s="220" t="str">
        <f>Components!B42</f>
        <v>Clubhouse Equip</v>
      </c>
      <c r="B42" s="220" t="str">
        <f>Components!C42</f>
        <v>Auditorium chairs</v>
      </c>
      <c r="C42" s="211"/>
      <c r="D42" s="211"/>
      <c r="E42" s="82">
        <f>AnalysisYear-Components!I42-Components!J42</f>
        <v>1</v>
      </c>
      <c r="F42" s="82">
        <f>IF(H42&lt;0,Components!K42-MOD(AnalysisYear-Components!I42-Components!J42,Components!K42),AnalysisYear-Components!I42-Components!J42)</f>
        <v>1</v>
      </c>
      <c r="G42" s="11">
        <f>ROUND(Components!H42*IF(H42&lt;0,((1+InflationRate)^F42),((1+InflationRate)^H42)),0)</f>
        <v>29129</v>
      </c>
      <c r="H42" s="82">
        <f>IF(E42&gt;=0,Components!K42-E42,E42)</f>
        <v>9</v>
      </c>
      <c r="I42" s="82"/>
      <c r="J42" s="211"/>
      <c r="K42" s="29">
        <f>IF($H42&gt;0,FV(EarningsRate,F42,-'FF Deposit'!L42,1),Components!$H42)</f>
        <v>2647.0904470617083</v>
      </c>
      <c r="L42" s="29">
        <f>'FF Deposit'!L42+IF(Components!M42&gt;0,K42-Components!M42,K42*(1+EarningsRate))</f>
        <v>5350.7907935117237</v>
      </c>
      <c r="M42" s="29">
        <f>'FF Deposit'!M42+IF(Components!N42&gt;0,L42-Components!N42,L42*(1+EarningsRate))</f>
        <v>8111.2688472371901</v>
      </c>
      <c r="N42" s="29">
        <f>'FF Deposit'!N42+IF(Components!O42&gt;0,M42-Components!O42,M42*(1+EarningsRate))</f>
        <v>10929.71694009089</v>
      </c>
      <c r="O42" s="29">
        <f>'FF Deposit'!O42+IF(Components!P42&gt;0,N42-Components!P42,N42*(1+EarningsRate))</f>
        <v>13807.352442894517</v>
      </c>
      <c r="P42" s="29">
        <f>'FF Deposit'!P42+IF(Components!Q42&gt;0,O42-Components!Q42,O42*(1+EarningsRate))</f>
        <v>16745.418291257021</v>
      </c>
      <c r="Q42" s="29">
        <f>'FF Deposit'!Q42+IF(Components!R42&gt;0,P42-Components!R42,P42*(1+EarningsRate))</f>
        <v>19745.183522435138</v>
      </c>
      <c r="R42" s="29">
        <f>'FF Deposit'!R42+IF(Components!S42&gt;0,Q42-Components!S42,Q42*(1+EarningsRate))</f>
        <v>22807.943823467995</v>
      </c>
      <c r="S42" s="29">
        <f>'FF Deposit'!S42+IF(Components!T42&gt;0,R42-Components!T42,R42*(1+EarningsRate))</f>
        <v>25935.022090822542</v>
      </c>
      <c r="T42" s="29">
        <f>'FF Deposit'!T42+IF(Components!U42&gt;0,S42-Components!U42,S42*(1+EarningsRate))</f>
        <v>29127.769001791534</v>
      </c>
      <c r="U42" s="29">
        <f>'FF Deposit'!U42+IF(Components!V42&gt;0,T42-Components!V42,T42*(1+EarningsRate))</f>
        <v>3734.1917270033996</v>
      </c>
      <c r="V42" s="29">
        <f>'FF Deposit'!V42+IF(Components!W42&gt;0,U42-Components!W42,U42*(1+EarningsRate))</f>
        <v>7548.032478482337</v>
      </c>
      <c r="W42" s="29">
        <f>'FF Deposit'!W42+IF(Components!X42&gt;0,V42-Components!X42,V42*(1+EarningsRate))</f>
        <v>11441.963885742331</v>
      </c>
      <c r="X42" s="29">
        <f>'FF Deposit'!X42+IF(Components!Y42&gt;0,W42-Components!Y42,W42*(1+EarningsRate))</f>
        <v>15417.667852554783</v>
      </c>
      <c r="Y42" s="29">
        <f>'FF Deposit'!Y42+IF(Components!Z42&gt;0,X42-Components!Z42,X42*(1+EarningsRate))</f>
        <v>19476.861602670298</v>
      </c>
      <c r="Z42" s="29">
        <f>'FF Deposit'!Z42+IF(Components!AA42&gt;0,Y42-Components!AA42,Y42*(1+EarningsRate))</f>
        <v>23621.298421538238</v>
      </c>
      <c r="AA42" s="29">
        <f>'FF Deposit'!AA42+IF(Components!AB42&gt;0,Z42-Components!AB42,Z42*(1+EarningsRate))</f>
        <v>27852.768413602404</v>
      </c>
      <c r="AB42" s="29">
        <f>'FF Deposit'!AB42+IF(Components!AC42&gt;0,AA42-Components!AC42,AA42*(1+EarningsRate))</f>
        <v>32173.099275499917</v>
      </c>
      <c r="AC42" s="29">
        <f>'FF Deposit'!AC42+IF(Components!AD42&gt;0,AB42-Components!AD42,AB42*(1+EarningsRate))</f>
        <v>36584.157085497274</v>
      </c>
      <c r="AD42" s="29">
        <f>'FF Deposit'!AD42+IF(Components!AE42&gt;0,AC42-Components!AE42,AC42*(1+EarningsRate))</f>
        <v>41087.847109504582</v>
      </c>
      <c r="AE42" s="29">
        <f>'FF Deposit'!AE42+IF(Components!AF42&gt;0,AD42-Components!AF42,AD42*(1+EarningsRate))</f>
        <v>5267.9872913244317</v>
      </c>
      <c r="AF42" s="29">
        <f>'FF Deposit'!AF42+IF(Components!AG42&gt;0,AE42-Components!AG42,AE42*(1+EarningsRate))</f>
        <v>10647.755206262093</v>
      </c>
      <c r="AG42" s="29">
        <f>'FF Deposit'!AG42+IF(Components!AH42&gt;0,AF42-Components!AH42,AF42*(1+EarningsRate))</f>
        <v>16140.498247413445</v>
      </c>
      <c r="AH42" s="29">
        <f>'FF Deposit'!AH42+IF(Components!AI42&gt;0,AG42-Components!AI42,AG42*(1+EarningsRate))</f>
        <v>21748.588892428976</v>
      </c>
      <c r="AI42" s="29">
        <f>'FF Deposit'!AI42+IF(Components!AJ42&gt;0,AH42-Components!AJ42,AH42*(1+EarningsRate))</f>
        <v>27474.449440989833</v>
      </c>
      <c r="AJ42" s="29">
        <f>'FF Deposit'!AJ42+IF(Components!AK42&gt;0,AI42-Components!AK42,AI42*(1+EarningsRate))</f>
        <v>33320.553061070466</v>
      </c>
      <c r="AK42" s="29">
        <f>'FF Deposit'!AK42+IF(Components!AL42&gt;0,AJ42-Components!AL42,AJ42*(1+EarningsRate))</f>
        <v>39289.424857172795</v>
      </c>
      <c r="AL42" s="29">
        <f>'FF Deposit'!AL42+IF(Components!AM42&gt;0,AK42-Components!AM42,AK42*(1+EarningsRate))</f>
        <v>45383.642960993267</v>
      </c>
      <c r="AM42" s="29">
        <f>'FF Deposit'!AM42+IF(Components!AN42&gt;0,AL42-Components!AN42,AL42*(1+EarningsRate))</f>
        <v>51605.839644993976</v>
      </c>
      <c r="AN42" s="29">
        <f>'FF Deposit'!AN42+IF(Components!AO42&gt;0,AM42-Components!AO42,AM42*(1+EarningsRate))</f>
        <v>57958.702459358698</v>
      </c>
      <c r="AO42" s="29">
        <f>'FF Deposit'!AO42+IF(Components!AP42&gt;0,AN42-Components!AP42,AN42*(1+EarningsRate))</f>
        <v>7431.3332106127664</v>
      </c>
      <c r="AP42" s="53"/>
    </row>
    <row r="43" spans="1:42" s="1" customFormat="1">
      <c r="A43" s="220" t="str">
        <f>Components!B43</f>
        <v>Clubhouse Equip</v>
      </c>
      <c r="B43" s="220" t="str">
        <f>Components!C43</f>
        <v>Auditorium Curtain</v>
      </c>
      <c r="C43" s="211"/>
      <c r="D43" s="211"/>
      <c r="E43" s="82">
        <f>AnalysisYear-Components!I43-Components!J43</f>
        <v>8</v>
      </c>
      <c r="F43" s="82">
        <f>IF(H43&lt;0,Components!K43-MOD(AnalysisYear-Components!I43-Components!J43,Components!K43),AnalysisYear-Components!I43-Components!J43)</f>
        <v>8</v>
      </c>
      <c r="G43" s="11">
        <f>ROUND(Components!H43*IF(H43&lt;0,((1+InflationRate)^F43),((1+InflationRate)^H43)),0)</f>
        <v>13168</v>
      </c>
      <c r="H43" s="82">
        <f>IF(E43&gt;=0,Components!K43-E43,E43)</f>
        <v>7</v>
      </c>
      <c r="I43" s="82"/>
      <c r="J43" s="211"/>
      <c r="K43" s="29">
        <f>IF($H43&gt;0,FV(EarningsRate,F43,-'FF Deposit'!L43,1),Components!$H43)</f>
        <v>6510.174821392422</v>
      </c>
      <c r="L43" s="29">
        <f>'FF Deposit'!L43+IF(Components!M43&gt;0,K43-Components!M43,K43*(1+EarningsRate))</f>
        <v>7402.8489161031639</v>
      </c>
      <c r="M43" s="29">
        <f>'FF Deposit'!M43+IF(Components!N43&gt;0,L43-Components!N43,L43*(1+EarningsRate))</f>
        <v>8314.269166802831</v>
      </c>
      <c r="N43" s="29">
        <f>'FF Deposit'!N43+IF(Components!O43&gt;0,M43-Components!O43,M43*(1+EarningsRate))</f>
        <v>9244.8292427671913</v>
      </c>
      <c r="O43" s="29">
        <f>'FF Deposit'!O43+IF(Components!P43&gt;0,N43-Components!P43,N43*(1+EarningsRate))</f>
        <v>10194.931080326804</v>
      </c>
      <c r="P43" s="29">
        <f>'FF Deposit'!P43+IF(Components!Q43&gt;0,O43-Components!Q43,O43*(1+EarningsRate))</f>
        <v>11164.985056475167</v>
      </c>
      <c r="Q43" s="29">
        <f>'FF Deposit'!Q43+IF(Components!R43&gt;0,P43-Components!R43,P43*(1+EarningsRate))</f>
        <v>12155.410166122647</v>
      </c>
      <c r="R43" s="29">
        <f>'FF Deposit'!R43+IF(Components!S43&gt;0,Q43-Components!S43,Q43*(1+EarningsRate))</f>
        <v>13166.634203072723</v>
      </c>
      <c r="S43" s="29">
        <f>'FF Deposit'!S43+IF(Components!T43&gt;0,R43-Components!T43,R43*(1+EarningsRate))</f>
        <v>1265.1316146138565</v>
      </c>
      <c r="T43" s="29">
        <f>'FF Deposit'!T43+IF(Components!U43&gt;0,S43-Components!U43,S43*(1+EarningsRate))</f>
        <v>2558.1967900618811</v>
      </c>
      <c r="U43" s="29">
        <f>'FF Deposit'!U43+IF(Components!V43&gt;0,T43-Components!V43,T43*(1+EarningsRate))</f>
        <v>3878.416334194314</v>
      </c>
      <c r="V43" s="29">
        <f>'FF Deposit'!V43+IF(Components!W43&gt;0,U43-Components!W43,U43*(1+EarningsRate))</f>
        <v>5226.3604887535275</v>
      </c>
      <c r="W43" s="29">
        <f>'FF Deposit'!W43+IF(Components!X43&gt;0,V43-Components!X43,V43*(1+EarningsRate))</f>
        <v>6602.6114705584841</v>
      </c>
      <c r="X43" s="29">
        <f>'FF Deposit'!X43+IF(Components!Y43&gt;0,W43-Components!Y43,W43*(1+EarningsRate))</f>
        <v>8007.7637229813463</v>
      </c>
      <c r="Y43" s="29">
        <f>'FF Deposit'!Y43+IF(Components!Z43&gt;0,X43-Components!Z43,X43*(1+EarningsRate))</f>
        <v>9442.4241727050867</v>
      </c>
      <c r="Z43" s="29">
        <f>'FF Deposit'!Z43+IF(Components!AA43&gt;0,Y43-Components!AA43,Y43*(1+EarningsRate))</f>
        <v>10907.212491873026</v>
      </c>
      <c r="AA43" s="29">
        <f>'FF Deposit'!AA43+IF(Components!AB43&gt;0,Z43-Components!AB43,Z43*(1+EarningsRate))</f>
        <v>12402.761365743492</v>
      </c>
      <c r="AB43" s="29">
        <f>'FF Deposit'!AB43+IF(Components!AC43&gt;0,AA43-Components!AC43,AA43*(1+EarningsRate))</f>
        <v>13929.716765965237</v>
      </c>
      <c r="AC43" s="29">
        <f>'FF Deposit'!AC43+IF(Components!AD43&gt;0,AB43-Components!AD43,AB43*(1+EarningsRate))</f>
        <v>15488.73822959164</v>
      </c>
      <c r="AD43" s="29">
        <f>'FF Deposit'!AD43+IF(Components!AE43&gt;0,AC43-Components!AE43,AC43*(1+EarningsRate))</f>
        <v>17080.499143954195</v>
      </c>
      <c r="AE43" s="29">
        <f>'FF Deposit'!AE43+IF(Components!AF43&gt;0,AD43-Components!AF43,AD43*(1+EarningsRate))</f>
        <v>18705.687037518368</v>
      </c>
      <c r="AF43" s="29">
        <f>'FF Deposit'!AF43+IF(Components!AG43&gt;0,AE43-Components!AG43,AE43*(1+EarningsRate))</f>
        <v>20365.003876847386</v>
      </c>
      <c r="AG43" s="29">
        <f>'FF Deposit'!AG43+IF(Components!AH43&gt;0,AF43-Components!AH43,AF43*(1+EarningsRate))</f>
        <v>22059.166369802315</v>
      </c>
      <c r="AH43" s="29">
        <f>'FF Deposit'!AH43+IF(Components!AI43&gt;0,AG43-Components!AI43,AG43*(1+EarningsRate))</f>
        <v>2119.9919618443073</v>
      </c>
      <c r="AI43" s="29">
        <f>'FF Deposit'!AI43+IF(Components!AJ43&gt;0,AH43-Components!AJ43,AH43*(1+EarningsRate))</f>
        <v>4286.3373850850294</v>
      </c>
      <c r="AJ43" s="29">
        <f>'FF Deposit'!AJ43+IF(Components!AK43&gt;0,AI43-Components!AK43,AI43*(1+EarningsRate))</f>
        <v>6498.1760622138072</v>
      </c>
      <c r="AK43" s="29">
        <f>'FF Deposit'!AK43+IF(Components!AL43&gt;0,AJ43-Components!AL43,AJ43*(1+EarningsRate))</f>
        <v>8756.4633515622882</v>
      </c>
      <c r="AL43" s="29">
        <f>'FF Deposit'!AL43+IF(Components!AM43&gt;0,AK43-Components!AM43,AK43*(1+EarningsRate))</f>
        <v>11062.174673987089</v>
      </c>
      <c r="AM43" s="29">
        <f>'FF Deposit'!AM43+IF(Components!AN43&gt;0,AL43-Components!AN43,AL43*(1+EarningsRate))</f>
        <v>13416.305934182808</v>
      </c>
      <c r="AN43" s="29">
        <f>'FF Deposit'!AN43+IF(Components!AO43&gt;0,AM43-Components!AO43,AM43*(1+EarningsRate))</f>
        <v>15819.873950842639</v>
      </c>
      <c r="AO43" s="29">
        <f>'FF Deposit'!AO43+IF(Components!AP43&gt;0,AN43-Components!AP43,AN43*(1+EarningsRate))</f>
        <v>18273.916895852326</v>
      </c>
      <c r="AP43" s="53"/>
    </row>
    <row r="44" spans="1:42" s="1" customFormat="1">
      <c r="A44" s="220" t="str">
        <f>Components!B44</f>
        <v>Clubhouse Equip</v>
      </c>
      <c r="B44" s="220" t="str">
        <f>Components!C44</f>
        <v>Auditorium sound system</v>
      </c>
      <c r="C44" s="211"/>
      <c r="D44" s="211"/>
      <c r="E44" s="82">
        <f>AnalysisYear-Components!I44-Components!J44</f>
        <v>8</v>
      </c>
      <c r="F44" s="82">
        <f>IF(H44&lt;0,Components!K44-MOD(AnalysisYear-Components!I44-Components!J44,Components!K44),AnalysisYear-Components!I44-Components!J44)</f>
        <v>8</v>
      </c>
      <c r="G44" s="11">
        <f>ROUND(Components!H44*IF(H44&lt;0,((1+InflationRate)^F44),((1+InflationRate)^H44)),0)</f>
        <v>7376</v>
      </c>
      <c r="H44" s="82">
        <f>IF(E44&gt;=0,Components!K44-E44,E44)</f>
        <v>4</v>
      </c>
      <c r="I44" s="82"/>
      <c r="J44" s="211"/>
      <c r="K44" s="29">
        <f>IF($H44&gt;0,FV(EarningsRate,F44,-'FF Deposit'!L44,1),Components!$H44)</f>
        <v>4709.1712300255085</v>
      </c>
      <c r="L44" s="29">
        <f>'FF Deposit'!L44+IF(Components!M44&gt;0,K44-Components!M44,K44*(1+EarningsRate))</f>
        <v>5354.9299377906973</v>
      </c>
      <c r="M44" s="29">
        <f>'FF Deposit'!M44+IF(Components!N44&gt;0,L44-Components!N44,L44*(1+EarningsRate))</f>
        <v>6014.249578418955</v>
      </c>
      <c r="N44" s="29">
        <f>'FF Deposit'!N44+IF(Components!O44&gt;0,M44-Components!O44,M44*(1+EarningsRate))</f>
        <v>6687.4149315004061</v>
      </c>
      <c r="O44" s="29">
        <f>'FF Deposit'!O44+IF(Components!P44&gt;0,N44-Components!P44,N44*(1+EarningsRate))</f>
        <v>7374.7167569965677</v>
      </c>
      <c r="P44" s="29">
        <f>'FF Deposit'!P44+IF(Components!Q44&gt;0,O44-Components!Q44,O44*(1+EarningsRate))</f>
        <v>825.06899850588854</v>
      </c>
      <c r="Q44" s="29">
        <f>'FF Deposit'!Q44+IF(Components!R44&gt;0,P44-Components!R44,P44*(1+EarningsRate))</f>
        <v>1668.7476889838331</v>
      </c>
      <c r="R44" s="29">
        <f>'FF Deposit'!R44+IF(Components!S44&gt;0,Q44-Components!S44,Q44*(1+EarningsRate))</f>
        <v>2530.1436319618142</v>
      </c>
      <c r="S44" s="29">
        <f>'FF Deposit'!S44+IF(Components!T44&gt;0,R44-Components!T44,R44*(1+EarningsRate))</f>
        <v>3409.6288897423328</v>
      </c>
      <c r="T44" s="29">
        <f>'FF Deposit'!T44+IF(Components!U44&gt;0,S44-Components!U44,S44*(1+EarningsRate))</f>
        <v>4307.5833379362421</v>
      </c>
      <c r="U44" s="29">
        <f>'FF Deposit'!U44+IF(Components!V44&gt;0,T44-Components!V44,T44*(1+EarningsRate))</f>
        <v>5224.3948295422242</v>
      </c>
      <c r="V44" s="29">
        <f>'FF Deposit'!V44+IF(Components!W44&gt;0,U44-Components!W44,U44*(1+EarningsRate))</f>
        <v>6160.4593624719319</v>
      </c>
      <c r="W44" s="29">
        <f>'FF Deposit'!W44+IF(Components!X44&gt;0,V44-Components!X44,V44*(1+EarningsRate))</f>
        <v>7116.181250593163</v>
      </c>
      <c r="X44" s="29">
        <f>'FF Deposit'!X44+IF(Components!Y44&gt;0,W44-Components!Y44,W44*(1+EarningsRate))</f>
        <v>8091.9732983649401</v>
      </c>
      <c r="Y44" s="29">
        <f>'FF Deposit'!Y44+IF(Components!Z44&gt;0,X44-Components!Z44,X44*(1+EarningsRate))</f>
        <v>9088.2569791399237</v>
      </c>
      <c r="Z44" s="29">
        <f>'FF Deposit'!Z44+IF(Components!AA44&gt;0,Y44-Components!AA44,Y44*(1+EarningsRate))</f>
        <v>10105.462617211182</v>
      </c>
      <c r="AA44" s="29">
        <f>'FF Deposit'!AA44+IF(Components!AB44&gt;0,Z44-Components!AB44,Z44*(1+EarningsRate))</f>
        <v>11144.029573681937</v>
      </c>
      <c r="AB44" s="29">
        <f>'FF Deposit'!AB44+IF(Components!AC44&gt;0,AA44-Components!AC44,AA44*(1+EarningsRate))</f>
        <v>1247.6325741729052</v>
      </c>
      <c r="AC44" s="29">
        <f>'FF Deposit'!AC44+IF(Components!AD44&gt;0,AB44-Components!AD44,AB44*(1+EarningsRate))</f>
        <v>2522.4358587215038</v>
      </c>
      <c r="AD44" s="29">
        <f>'FF Deposit'!AD44+IF(Components!AE44&gt;0,AC44-Components!AE44,AC44*(1+EarningsRate))</f>
        <v>3824.0100122456233</v>
      </c>
      <c r="AE44" s="29">
        <f>'FF Deposit'!AE44+IF(Components!AF44&gt;0,AD44-Components!AF44,AD44*(1+EarningsRate))</f>
        <v>5152.9172229937485</v>
      </c>
      <c r="AF44" s="29">
        <f>'FF Deposit'!AF44+IF(Components!AG44&gt;0,AE44-Components!AG44,AE44*(1+EarningsRate))</f>
        <v>6509.7314851675847</v>
      </c>
      <c r="AG44" s="29">
        <f>'FF Deposit'!AG44+IF(Components!AH44&gt;0,AF44-Components!AH44,AF44*(1+EarningsRate))</f>
        <v>7895.038846847071</v>
      </c>
      <c r="AH44" s="29">
        <f>'FF Deposit'!AH44+IF(Components!AI44&gt;0,AG44-Components!AI44,AG44*(1+EarningsRate))</f>
        <v>9309.4376631218256</v>
      </c>
      <c r="AI44" s="29">
        <f>'FF Deposit'!AI44+IF(Components!AJ44&gt;0,AH44-Components!AJ44,AH44*(1+EarningsRate))</f>
        <v>10753.53885453835</v>
      </c>
      <c r="AJ44" s="29">
        <f>'FF Deposit'!AJ44+IF(Components!AK44&gt;0,AI44-Components!AK44,AI44*(1+EarningsRate))</f>
        <v>12227.966170974623</v>
      </c>
      <c r="AK44" s="29">
        <f>'FF Deposit'!AK44+IF(Components!AL44&gt;0,AJ44-Components!AL44,AJ44*(1+EarningsRate))</f>
        <v>13733.356461056057</v>
      </c>
      <c r="AL44" s="29">
        <f>'FF Deposit'!AL44+IF(Components!AM44&gt;0,AK44-Components!AM44,AK44*(1+EarningsRate))</f>
        <v>15270.359947229201</v>
      </c>
      <c r="AM44" s="29">
        <f>'FF Deposit'!AM44+IF(Components!AN44&gt;0,AL44-Components!AN44,AL44*(1+EarningsRate))</f>
        <v>16839.640506611981</v>
      </c>
      <c r="AN44" s="29">
        <f>'FF Deposit'!AN44+IF(Components!AO44&gt;0,AM44-Components!AO44,AM44*(1+EarningsRate))</f>
        <v>1885.3810298303199</v>
      </c>
      <c r="AO44" s="29">
        <f>'FF Deposit'!AO44+IF(Components!AP44&gt;0,AN44-Components!AP44,AN44*(1+EarningsRate))</f>
        <v>3811.7145546750958</v>
      </c>
      <c r="AP44" s="53"/>
    </row>
    <row r="45" spans="1:42" s="1" customFormat="1">
      <c r="A45" s="220" t="str">
        <f>Components!B45</f>
        <v>Clubhouse Equip</v>
      </c>
      <c r="B45" s="220" t="str">
        <f>Components!C45</f>
        <v>Billiard tables</v>
      </c>
      <c r="C45" s="211"/>
      <c r="D45" s="211"/>
      <c r="E45" s="82">
        <f>AnalysisYear-Components!I45-Components!J45</f>
        <v>23</v>
      </c>
      <c r="F45" s="82">
        <f>IF(H45&lt;0,Components!K45-MOD(AnalysisYear-Components!I45-Components!J45,Components!K45),AnalysisYear-Components!I45-Components!J45)</f>
        <v>23</v>
      </c>
      <c r="G45" s="11">
        <f>ROUND(Components!H45*IF(H45&lt;0,((1+InflationRate)^F45),((1+InflationRate)^H45)),0)</f>
        <v>36889</v>
      </c>
      <c r="H45" s="82">
        <f>IF(E45&gt;=0,Components!K45-E45,E45)</f>
        <v>2</v>
      </c>
      <c r="I45" s="82"/>
      <c r="J45" s="211"/>
      <c r="K45" s="29">
        <f>IF($H45&gt;0,FV(EarningsRate,F45,-'FF Deposit'!L45,1),Components!$H45)</f>
        <v>33181.089729417436</v>
      </c>
      <c r="L45" s="29">
        <f>'FF Deposit'!L45+IF(Components!M45&gt;0,K45-Components!M45,K45*(1+EarningsRate))</f>
        <v>35014.9486987454</v>
      </c>
      <c r="M45" s="29">
        <f>'FF Deposit'!M45+IF(Components!N45&gt;0,L45-Components!N45,L45*(1+EarningsRate))</f>
        <v>36887.318706429258</v>
      </c>
      <c r="N45" s="29">
        <f>'FF Deposit'!N45+IF(Components!O45&gt;0,M45-Components!O45,M45*(1+EarningsRate))</f>
        <v>2685.4607961599399</v>
      </c>
      <c r="O45" s="29">
        <f>'FF Deposit'!O45+IF(Components!P45&gt;0,N45-Components!P45,N45*(1+EarningsRate))</f>
        <v>5428.9975626099804</v>
      </c>
      <c r="P45" s="29">
        <f>'FF Deposit'!P45+IF(Components!Q45&gt;0,O45-Components!Q45,O45*(1+EarningsRate))</f>
        <v>8230.1486011554716</v>
      </c>
      <c r="Q45" s="29">
        <f>'FF Deposit'!Q45+IF(Components!R45&gt;0,P45-Components!R45,P45*(1+EarningsRate))</f>
        <v>11090.123811510417</v>
      </c>
      <c r="R45" s="29">
        <f>'FF Deposit'!R45+IF(Components!S45&gt;0,Q45-Components!S45,Q45*(1+EarningsRate))</f>
        <v>14010.158501282816</v>
      </c>
      <c r="S45" s="29">
        <f>'FF Deposit'!S45+IF(Components!T45&gt;0,R45-Components!T45,R45*(1+EarningsRate))</f>
        <v>16991.513919540437</v>
      </c>
      <c r="T45" s="29">
        <f>'FF Deposit'!T45+IF(Components!U45&gt;0,S45-Components!U45,S45*(1+EarningsRate))</f>
        <v>20035.477801581466</v>
      </c>
      <c r="U45" s="29">
        <f>'FF Deposit'!U45+IF(Components!V45&gt;0,T45-Components!V45,T45*(1+EarningsRate))</f>
        <v>23143.364925145357</v>
      </c>
      <c r="V45" s="29">
        <f>'FF Deposit'!V45+IF(Components!W45&gt;0,U45-Components!W45,U45*(1+EarningsRate))</f>
        <v>26316.517678304088</v>
      </c>
      <c r="W45" s="29">
        <f>'FF Deposit'!W45+IF(Components!X45&gt;0,V45-Components!X45,V45*(1+EarningsRate))</f>
        <v>29556.306639279152</v>
      </c>
      <c r="X45" s="29">
        <f>'FF Deposit'!X45+IF(Components!Y45&gt;0,W45-Components!Y45,W45*(1+EarningsRate))</f>
        <v>32864.131168434695</v>
      </c>
      <c r="Y45" s="29">
        <f>'FF Deposit'!Y45+IF(Components!Z45&gt;0,X45-Components!Z45,X45*(1+EarningsRate))</f>
        <v>36241.420012702503</v>
      </c>
      <c r="Z45" s="29">
        <f>'FF Deposit'!Z45+IF(Components!AA45&gt;0,Y45-Components!AA45,Y45*(1+EarningsRate))</f>
        <v>39689.631922699933</v>
      </c>
      <c r="AA45" s="29">
        <f>'FF Deposit'!AA45+IF(Components!AB45&gt;0,Z45-Components!AB45,Z45*(1+EarningsRate))</f>
        <v>43210.256282807306</v>
      </c>
      <c r="AB45" s="29">
        <f>'FF Deposit'!AB45+IF(Components!AC45&gt;0,AA45-Components!AC45,AA45*(1+EarningsRate))</f>
        <v>46804.813754476934</v>
      </c>
      <c r="AC45" s="29">
        <f>'FF Deposit'!AC45+IF(Components!AD45&gt;0,AB45-Components!AD45,AB45*(1+EarningsRate))</f>
        <v>50474.856933051626</v>
      </c>
      <c r="AD45" s="29">
        <f>'FF Deposit'!AD45+IF(Components!AE45&gt;0,AC45-Components!AE45,AC45*(1+EarningsRate))</f>
        <v>54221.971018376389</v>
      </c>
      <c r="AE45" s="29">
        <f>'FF Deposit'!AE45+IF(Components!AF45&gt;0,AD45-Components!AF45,AD45*(1+EarningsRate))</f>
        <v>58047.774499492967</v>
      </c>
      <c r="AF45" s="29">
        <f>'FF Deposit'!AF45+IF(Components!AG45&gt;0,AE45-Components!AG45,AE45*(1+EarningsRate))</f>
        <v>61953.919853712992</v>
      </c>
      <c r="AG45" s="29">
        <f>'FF Deposit'!AG45+IF(Components!AH45&gt;0,AF45-Components!AH45,AF45*(1+EarningsRate))</f>
        <v>65942.094260371639</v>
      </c>
      <c r="AH45" s="29">
        <f>'FF Deposit'!AH45+IF(Components!AI45&gt;0,AG45-Components!AI45,AG45*(1+EarningsRate))</f>
        <v>70014.020329570121</v>
      </c>
      <c r="AI45" s="29">
        <f>'FF Deposit'!AI45+IF(Components!AJ45&gt;0,AH45-Components!AJ45,AH45*(1+EarningsRate))</f>
        <v>74171.456846221772</v>
      </c>
      <c r="AJ45" s="29">
        <f>'FF Deposit'!AJ45+IF(Components!AK45&gt;0,AI45-Components!AK45,AI45*(1+EarningsRate))</f>
        <v>78416.199529723104</v>
      </c>
      <c r="AK45" s="29">
        <f>'FF Deposit'!AK45+IF(Components!AL45&gt;0,AJ45-Components!AL45,AJ45*(1+EarningsRate))</f>
        <v>82750.081809577969</v>
      </c>
      <c r="AL45" s="29">
        <f>'FF Deposit'!AL45+IF(Components!AM45&gt;0,AK45-Components!AM45,AK45*(1+EarningsRate))</f>
        <v>87174.975617309785</v>
      </c>
      <c r="AM45" s="29">
        <f>'FF Deposit'!AM45+IF(Components!AN45&gt;0,AL45-Components!AN45,AL45*(1+EarningsRate))</f>
        <v>6347.3693145783845</v>
      </c>
      <c r="AN45" s="29">
        <f>'FF Deposit'!AN45+IF(Components!AO45&gt;0,AM45-Components!AO45,AM45*(1+EarningsRate))</f>
        <v>12831.057767453131</v>
      </c>
      <c r="AO45" s="29">
        <f>'FF Deposit'!AO45+IF(Components!AP45&gt;0,AN45-Components!AP45,AN45*(1+EarningsRate))</f>
        <v>19450.903677838243</v>
      </c>
      <c r="AP45" s="53"/>
    </row>
    <row r="46" spans="1:42" s="1" customFormat="1">
      <c r="A46" s="220" t="str">
        <f>Components!B46</f>
        <v>Clubhouse Equip</v>
      </c>
      <c r="B46" s="220" t="str">
        <f>Components!C46</f>
        <v>Board room AV system</v>
      </c>
      <c r="C46" s="211"/>
      <c r="D46" s="211"/>
      <c r="E46" s="82">
        <f>AnalysisYear-Components!I46-Components!J46</f>
        <v>10</v>
      </c>
      <c r="F46" s="82">
        <f>IF(H46&lt;0,Components!K46-MOD(AnalysisYear-Components!I46-Components!J46,Components!K46),AnalysisYear-Components!I46-Components!J46)</f>
        <v>10</v>
      </c>
      <c r="G46" s="11">
        <f>ROUND(Components!H46*IF(H46&lt;0,((1+InflationRate)^F46),((1+InflationRate)^H46)),0)</f>
        <v>20700</v>
      </c>
      <c r="H46" s="82">
        <f>IF(E46&gt;=0,Components!K46-E46,E46)</f>
        <v>0</v>
      </c>
      <c r="I46" s="82"/>
      <c r="J46" s="211"/>
      <c r="K46" s="29">
        <f>IF($H46&gt;0,FV(EarningsRate,F46,-'FF Deposit'!L46,1),Components!$H46)</f>
        <v>20700</v>
      </c>
      <c r="L46" s="29">
        <f>'FF Deposit'!L46+IF(Components!M46&gt;0,K46-Components!M46,K46*(1+EarningsRate))</f>
        <v>2654.5109825907393</v>
      </c>
      <c r="M46" s="29">
        <f>'FF Deposit'!M46+IF(Components!N46&gt;0,L46-Components!N46,L46*(1+EarningsRate))</f>
        <v>5364.7666958158843</v>
      </c>
      <c r="N46" s="29">
        <f>'FF Deposit'!N46+IF(Components!O46&gt;0,M46-Components!O46,M46*(1+EarningsRate))</f>
        <v>8131.9377790187564</v>
      </c>
      <c r="O46" s="29">
        <f>'FF Deposit'!O46+IF(Components!P46&gt;0,N46-Components!P46,N46*(1+EarningsRate))</f>
        <v>10957.21945496889</v>
      </c>
      <c r="P46" s="29">
        <f>'FF Deposit'!P46+IF(Components!Q46&gt;0,O46-Components!Q46,O46*(1+EarningsRate))</f>
        <v>13841.832046113974</v>
      </c>
      <c r="Q46" s="29">
        <f>'FF Deposit'!Q46+IF(Components!R46&gt;0,P46-Components!R46,P46*(1+EarningsRate))</f>
        <v>16787.021501673105</v>
      </c>
      <c r="R46" s="29">
        <f>'FF Deposit'!R46+IF(Components!S46&gt;0,Q46-Components!S46,Q46*(1+EarningsRate))</f>
        <v>19794.059935798978</v>
      </c>
      <c r="S46" s="29">
        <f>'FF Deposit'!S46+IF(Components!T46&gt;0,R46-Components!T46,R46*(1+EarningsRate))</f>
        <v>22864.246177041492</v>
      </c>
      <c r="T46" s="29">
        <f>'FF Deposit'!T46+IF(Components!U46&gt;0,S46-Components!U46,S46*(1+EarningsRate))</f>
        <v>25998.906329350099</v>
      </c>
      <c r="U46" s="29">
        <f>'FF Deposit'!U46+IF(Components!V46&gt;0,T46-Components!V46,T46*(1+EarningsRate))</f>
        <v>29199.394344857188</v>
      </c>
      <c r="V46" s="29">
        <f>'FF Deposit'!V46+IF(Components!W46&gt;0,U46-Components!W46,U46*(1+EarningsRate))</f>
        <v>3744.7936772565595</v>
      </c>
      <c r="W46" s="29">
        <f>'FF Deposit'!W46+IF(Components!X46&gt;0,V46-Components!X46,V46*(1+EarningsRate))</f>
        <v>7567.8336768783183</v>
      </c>
      <c r="X46" s="29">
        <f>'FF Deposit'!X46+IF(Components!Y46&gt;0,W46-Components!Y46,W46*(1+EarningsRate))</f>
        <v>11471.157516492134</v>
      </c>
      <c r="Y46" s="29">
        <f>'FF Deposit'!Y46+IF(Components!Z46&gt;0,X46-Components!Z46,X46*(1+EarningsRate))</f>
        <v>15456.451156737839</v>
      </c>
      <c r="Z46" s="29">
        <f>'FF Deposit'!Z46+IF(Components!AA46&gt;0,Y46-Components!AA46,Y46*(1+EarningsRate))</f>
        <v>19525.435963428703</v>
      </c>
      <c r="AA46" s="29">
        <f>'FF Deposit'!AA46+IF(Components!AB46&gt;0,Z46-Components!AB46,Z46*(1+EarningsRate))</f>
        <v>23679.869451060076</v>
      </c>
      <c r="AB46" s="29">
        <f>'FF Deposit'!AB46+IF(Components!AC46&gt;0,AA46-Components!AC46,AA46*(1+EarningsRate))</f>
        <v>27921.546041931706</v>
      </c>
      <c r="AC46" s="29">
        <f>'FF Deposit'!AC46+IF(Components!AD46&gt;0,AB46-Components!AD46,AB46*(1+EarningsRate))</f>
        <v>32252.297841211639</v>
      </c>
      <c r="AD46" s="29">
        <f>'FF Deposit'!AD46+IF(Components!AE46&gt;0,AC46-Components!AE46,AC46*(1+EarningsRate))</f>
        <v>36673.995428276452</v>
      </c>
      <c r="AE46" s="29">
        <f>'FF Deposit'!AE46+IF(Components!AF46&gt;0,AD46-Components!AF46,AD46*(1+EarningsRate))</f>
        <v>41188.548664669623</v>
      </c>
      <c r="AF46" s="29">
        <f>'FF Deposit'!AF46+IF(Components!AG46&gt;0,AE46-Components!AG46,AE46*(1+EarningsRate))</f>
        <v>5281.5125710430493</v>
      </c>
      <c r="AG46" s="29">
        <f>'FF Deposit'!AG46+IF(Components!AH46&gt;0,AF46-Components!AH46,AF46*(1+EarningsRate))</f>
        <v>10674.388241408378</v>
      </c>
      <c r="AH46" s="29">
        <f>'FF Deposit'!AH46+IF(Components!AI46&gt;0,AG46-Components!AI46,AG46*(1+EarningsRate))</f>
        <v>16180.514300851381</v>
      </c>
      <c r="AI46" s="29">
        <f>'FF Deposit'!AI46+IF(Components!AJ46&gt;0,AH46-Components!AJ46,AH46*(1+EarningsRate))</f>
        <v>21802.269007542687</v>
      </c>
      <c r="AJ46" s="29">
        <f>'FF Deposit'!AJ46+IF(Components!AK46&gt;0,AI46-Components!AK46,AI46*(1+EarningsRate))</f>
        <v>27542.080563074509</v>
      </c>
      <c r="AK46" s="29">
        <f>'FF Deposit'!AK46+IF(Components!AL46&gt;0,AJ46-Components!AL46,AJ46*(1+EarningsRate))</f>
        <v>33402.428161272495</v>
      </c>
      <c r="AL46" s="29">
        <f>'FF Deposit'!AL46+IF(Components!AM46&gt;0,AK46-Components!AM46,AK46*(1+EarningsRate))</f>
        <v>39385.843059032646</v>
      </c>
      <c r="AM46" s="29">
        <f>'FF Deposit'!AM46+IF(Components!AN46&gt;0,AL46-Components!AN46,AL46*(1+EarningsRate))</f>
        <v>45494.909669645756</v>
      </c>
      <c r="AN46" s="29">
        <f>'FF Deposit'!AN46+IF(Components!AO46&gt;0,AM46-Components!AO46,AM46*(1+EarningsRate))</f>
        <v>51732.266679081738</v>
      </c>
      <c r="AO46" s="29">
        <f>'FF Deposit'!AO46+IF(Components!AP46&gt;0,AN46-Components!AP46,AN46*(1+EarningsRate))</f>
        <v>58100.608185715879</v>
      </c>
      <c r="AP46" s="53"/>
    </row>
    <row r="47" spans="1:42" s="1" customFormat="1">
      <c r="A47" s="220" t="str">
        <f>Components!B47</f>
        <v>Clubhouse Equip</v>
      </c>
      <c r="B47" s="220" t="str">
        <f>Components!C47</f>
        <v>Club Point of Sale System</v>
      </c>
      <c r="C47" s="211"/>
      <c r="D47" s="211"/>
      <c r="E47" s="82">
        <f>AnalysisYear-Components!I47-Components!J47</f>
        <v>8</v>
      </c>
      <c r="F47" s="82">
        <f>IF(H47&lt;0,Components!K47-MOD(AnalysisYear-Components!I47-Components!J47,Components!K47),AnalysisYear-Components!I47-Components!J47)</f>
        <v>8</v>
      </c>
      <c r="G47" s="11">
        <f>ROUND(Components!H47*IF(H47&lt;0,((1+InflationRate)^F47),((1+InflationRate)^H47)),0)</f>
        <v>26220</v>
      </c>
      <c r="H47" s="82">
        <f>IF(E47&gt;=0,Components!K47-E47,E47)</f>
        <v>7</v>
      </c>
      <c r="I47" s="82"/>
      <c r="J47" s="211"/>
      <c r="K47" s="29">
        <f>IF($H47&gt;0,FV(EarningsRate,F47,-'FF Deposit'!L47,1),Components!$H47)</f>
        <v>12964.170463903678</v>
      </c>
      <c r="L47" s="29">
        <f>'FF Deposit'!L47+IF(Components!M47&gt;0,K47-Components!M47,K47*(1+EarningsRate))</f>
        <v>14741.679457919694</v>
      </c>
      <c r="M47" s="29">
        <f>'FF Deposit'!M47+IF(Components!N47&gt;0,L47-Components!N47,L47*(1+EarningsRate))</f>
        <v>16556.516140810047</v>
      </c>
      <c r="N47" s="29">
        <f>'FF Deposit'!N47+IF(Components!O47&gt;0,M47-Components!O47,M47*(1+EarningsRate))</f>
        <v>18409.464394041097</v>
      </c>
      <c r="O47" s="29">
        <f>'FF Deposit'!O47+IF(Components!P47&gt;0,N47-Components!P47,N47*(1+EarningsRate))</f>
        <v>20301.324560590001</v>
      </c>
      <c r="P47" s="29">
        <f>'FF Deposit'!P47+IF(Components!Q47&gt;0,O47-Components!Q47,O47*(1+EarningsRate))</f>
        <v>22232.91379063643</v>
      </c>
      <c r="Q47" s="29">
        <f>'FF Deposit'!Q47+IF(Components!R47&gt;0,P47-Components!R47,P47*(1+EarningsRate))</f>
        <v>24205.066394513837</v>
      </c>
      <c r="R47" s="29">
        <f>'FF Deposit'!R47+IF(Components!S47&gt;0,Q47-Components!S47,Q47*(1+EarningsRate))</f>
        <v>26218.634203072666</v>
      </c>
      <c r="S47" s="29">
        <f>'FF Deposit'!S47+IF(Components!T47&gt;0,R47-Components!T47,R47*(1+EarningsRate))</f>
        <v>2520.4721534530227</v>
      </c>
      <c r="T47" s="29">
        <f>'FF Deposit'!T47+IF(Components!U47&gt;0,S47-Components!U47,S47*(1+EarningsRate))</f>
        <v>5095.2400190558919</v>
      </c>
      <c r="U47" s="29">
        <f>'FF Deposit'!U47+IF(Components!V47&gt;0,T47-Components!V47,T47*(1+EarningsRate))</f>
        <v>7724.0780098364212</v>
      </c>
      <c r="V47" s="29">
        <f>'FF Deposit'!V47+IF(Components!W47&gt;0,U47-Components!W47,U47*(1+EarningsRate))</f>
        <v>10408.121598423342</v>
      </c>
      <c r="W47" s="29">
        <f>'FF Deposit'!W47+IF(Components!X47&gt;0,V47-Components!X47,V47*(1+EarningsRate))</f>
        <v>13148.530102370587</v>
      </c>
      <c r="X47" s="29">
        <f>'FF Deposit'!X47+IF(Components!Y47&gt;0,W47-Components!Y47,W47*(1+EarningsRate))</f>
        <v>15946.487184900725</v>
      </c>
      <c r="Y47" s="29">
        <f>'FF Deposit'!Y47+IF(Components!Z47&gt;0,X47-Components!Z47,X47*(1+EarningsRate))</f>
        <v>18803.201366163994</v>
      </c>
      <c r="Z47" s="29">
        <f>'FF Deposit'!Z47+IF(Components!AA47&gt;0,Y47-Components!AA47,Y47*(1+EarningsRate))</f>
        <v>21719.906545233793</v>
      </c>
      <c r="AA47" s="29">
        <f>'FF Deposit'!AA47+IF(Components!AB47&gt;0,Z47-Components!AB47,Z47*(1+EarningsRate))</f>
        <v>24697.862533064057</v>
      </c>
      <c r="AB47" s="29">
        <f>'FF Deposit'!AB47+IF(Components!AC47&gt;0,AA47-Components!AC47,AA47*(1+EarningsRate))</f>
        <v>27738.355596638754</v>
      </c>
      <c r="AC47" s="29">
        <f>'FF Deposit'!AC47+IF(Components!AD47&gt;0,AB47-Components!AD47,AB47*(1+EarningsRate))</f>
        <v>30842.699014548522</v>
      </c>
      <c r="AD47" s="29">
        <f>'FF Deposit'!AD47+IF(Components!AE47&gt;0,AC47-Components!AE47,AC47*(1+EarningsRate))</f>
        <v>34012.233644234395</v>
      </c>
      <c r="AE47" s="29">
        <f>'FF Deposit'!AE47+IF(Components!AF47&gt;0,AD47-Components!AF47,AD47*(1+EarningsRate))</f>
        <v>37248.328501143675</v>
      </c>
      <c r="AF47" s="29">
        <f>'FF Deposit'!AF47+IF(Components!AG47&gt;0,AE47-Components!AG47,AE47*(1+EarningsRate))</f>
        <v>40552.381350048046</v>
      </c>
      <c r="AG47" s="29">
        <f>'FF Deposit'!AG47+IF(Components!AH47&gt;0,AF47-Components!AH47,AF47*(1+EarningsRate))</f>
        <v>43925.819308779413</v>
      </c>
      <c r="AH47" s="29">
        <f>'FF Deposit'!AH47+IF(Components!AI47&gt;0,AG47-Components!AI47,AG47*(1+EarningsRate))</f>
        <v>4223.7154051317357</v>
      </c>
      <c r="AI47" s="29">
        <f>'FF Deposit'!AI47+IF(Components!AJ47&gt;0,AH47-Components!AJ47,AH47*(1+EarningsRate))</f>
        <v>8537.3095249918242</v>
      </c>
      <c r="AJ47" s="29">
        <f>'FF Deposit'!AJ47+IF(Components!AK47&gt;0,AI47-Components!AK47,AI47*(1+EarningsRate))</f>
        <v>12941.489121368973</v>
      </c>
      <c r="AK47" s="29">
        <f>'FF Deposit'!AK47+IF(Components!AL47&gt;0,AJ47-Components!AL47,AJ47*(1+EarningsRate))</f>
        <v>17438.156489270041</v>
      </c>
      <c r="AL47" s="29">
        <f>'FF Deposit'!AL47+IF(Components!AM47&gt;0,AK47-Components!AM47,AK47*(1+EarningsRate))</f>
        <v>22029.253871897032</v>
      </c>
      <c r="AM47" s="29">
        <f>'FF Deposit'!AM47+IF(Components!AN47&gt;0,AL47-Components!AN47,AL47*(1+EarningsRate))</f>
        <v>26716.764299559189</v>
      </c>
      <c r="AN47" s="29">
        <f>'FF Deposit'!AN47+IF(Components!AO47&gt;0,AM47-Components!AO47,AM47*(1+EarningsRate))</f>
        <v>31502.712446202255</v>
      </c>
      <c r="AO47" s="29">
        <f>'FF Deposit'!AO47+IF(Components!AP47&gt;0,AN47-Components!AP47,AN47*(1+EarningsRate))</f>
        <v>36389.165503924822</v>
      </c>
      <c r="AP47" s="53"/>
    </row>
    <row r="48" spans="1:42" s="1" customFormat="1">
      <c r="A48" s="220" t="str">
        <f>Components!B48</f>
        <v>Clubhouse Equip</v>
      </c>
      <c r="B48" s="220" t="str">
        <f>Components!C48</f>
        <v>Clubhouse Mobile Lift</v>
      </c>
      <c r="C48" s="211"/>
      <c r="D48" s="211"/>
      <c r="E48" s="82">
        <f>AnalysisYear-Components!I48-Components!J48</f>
        <v>8</v>
      </c>
      <c r="F48" s="82">
        <f>IF(H48&lt;0,Components!K48-MOD(AnalysisYear-Components!I48-Components!J48,Components!K48),AnalysisYear-Components!I48-Components!J48)</f>
        <v>8</v>
      </c>
      <c r="G48" s="11">
        <f>ROUND(Components!H48*IF(H48&lt;0,((1+InflationRate)^F48),((1+InflationRate)^H48)),0)</f>
        <v>17401</v>
      </c>
      <c r="H48" s="82">
        <f>IF(E48&gt;=0,Components!K48-E48,E48)</f>
        <v>12</v>
      </c>
      <c r="I48" s="82"/>
      <c r="J48" s="211"/>
      <c r="K48" s="29">
        <f>IF($H48&gt;0,FV(EarningsRate,F48,-'FF Deposit'!L48,1),Components!$H48)</f>
        <v>6106.242531770934</v>
      </c>
      <c r="L48" s="29">
        <f>'FF Deposit'!L48+IF(Components!M48&gt;0,K48-Components!M48,K48*(1+EarningsRate))</f>
        <v>6943.5380042125244</v>
      </c>
      <c r="M48" s="29">
        <f>'FF Deposit'!M48+IF(Components!N48&gt;0,L48-Components!N48,L48*(1+EarningsRate))</f>
        <v>7798.4166815753879</v>
      </c>
      <c r="N48" s="29">
        <f>'FF Deposit'!N48+IF(Components!O48&gt;0,M48-Components!O48,M48*(1+EarningsRate))</f>
        <v>8671.2478111628716</v>
      </c>
      <c r="O48" s="29">
        <f>'FF Deposit'!O48+IF(Components!P48&gt;0,N48-Components!P48,N48*(1+EarningsRate))</f>
        <v>9562.4083944716931</v>
      </c>
      <c r="P48" s="29">
        <f>'FF Deposit'!P48+IF(Components!Q48&gt;0,O48-Components!Q48,O48*(1+EarningsRate))</f>
        <v>10472.283350029998</v>
      </c>
      <c r="Q48" s="29">
        <f>'FF Deposit'!Q48+IF(Components!R48&gt;0,P48-Components!R48,P48*(1+EarningsRate))</f>
        <v>11401.265679655029</v>
      </c>
      <c r="R48" s="29">
        <f>'FF Deposit'!R48+IF(Components!S48&gt;0,Q48-Components!S48,Q48*(1+EarningsRate))</f>
        <v>12349.756638202185</v>
      </c>
      <c r="S48" s="29">
        <f>'FF Deposit'!S48+IF(Components!T48&gt;0,R48-Components!T48,R48*(1+EarningsRate))</f>
        <v>13318.16590687883</v>
      </c>
      <c r="T48" s="29">
        <f>'FF Deposit'!T48+IF(Components!U48&gt;0,S48-Components!U48,S48*(1+EarningsRate))</f>
        <v>14306.911770197687</v>
      </c>
      <c r="U48" s="29">
        <f>'FF Deposit'!U48+IF(Components!V48&gt;0,T48-Components!V48,T48*(1+EarningsRate))</f>
        <v>15316.421296646238</v>
      </c>
      <c r="V48" s="29">
        <f>'FF Deposit'!V48+IF(Components!W48&gt;0,U48-Components!W48,U48*(1+EarningsRate))</f>
        <v>16347.130523150208</v>
      </c>
      <c r="W48" s="29">
        <f>'FF Deposit'!W48+IF(Components!X48&gt;0,V48-Components!X48,V48*(1+EarningsRate))</f>
        <v>17399.484643410764</v>
      </c>
      <c r="X48" s="29">
        <f>'FF Deposit'!X48+IF(Components!Y48&gt;0,W48-Components!Y48,W48*(1+EarningsRate))</f>
        <v>1409.3730487712885</v>
      </c>
      <c r="Y48" s="29">
        <f>'FF Deposit'!Y48+IF(Components!Z48&gt;0,X48-Components!Z48,X48*(1+EarningsRate))</f>
        <v>2849.8582881560096</v>
      </c>
      <c r="Z48" s="29">
        <f>'FF Deposit'!Z48+IF(Components!AA48&gt;0,Y48-Components!AA48,Y48*(1+EarningsRate))</f>
        <v>4320.59371756781</v>
      </c>
      <c r="AA48" s="29">
        <f>'FF Deposit'!AA48+IF(Components!AB48&gt;0,Z48-Components!AB48,Z48*(1+EarningsRate))</f>
        <v>5822.2145909972578</v>
      </c>
      <c r="AB48" s="29">
        <f>'FF Deposit'!AB48+IF(Components!AC48&gt;0,AA48-Components!AC48,AA48*(1+EarningsRate))</f>
        <v>7355.3695027687236</v>
      </c>
      <c r="AC48" s="29">
        <f>'FF Deposit'!AC48+IF(Components!AD48&gt;0,AB48-Components!AD48,AB48*(1+EarningsRate))</f>
        <v>8920.7206676873902</v>
      </c>
      <c r="AD48" s="29">
        <f>'FF Deposit'!AD48+IF(Components!AE48&gt;0,AC48-Components!AE48,AC48*(1+EarningsRate))</f>
        <v>10518.944207069349</v>
      </c>
      <c r="AE48" s="29">
        <f>'FF Deposit'!AE48+IF(Components!AF48&gt;0,AD48-Components!AF48,AD48*(1+EarningsRate))</f>
        <v>12150.73044077833</v>
      </c>
      <c r="AF48" s="29">
        <f>'FF Deposit'!AF48+IF(Components!AG48&gt;0,AE48-Components!AG48,AE48*(1+EarningsRate))</f>
        <v>13816.7841853952</v>
      </c>
      <c r="AG48" s="29">
        <f>'FF Deposit'!AG48+IF(Components!AH48&gt;0,AF48-Components!AH48,AF48*(1+EarningsRate))</f>
        <v>15517.825058649023</v>
      </c>
      <c r="AH48" s="29">
        <f>'FF Deposit'!AH48+IF(Components!AI48&gt;0,AG48-Components!AI48,AG48*(1+EarningsRate))</f>
        <v>17254.587790241174</v>
      </c>
      <c r="AI48" s="29">
        <f>'FF Deposit'!AI48+IF(Components!AJ48&gt;0,AH48-Components!AJ48,AH48*(1+EarningsRate))</f>
        <v>19027.822539196761</v>
      </c>
      <c r="AJ48" s="29">
        <f>'FF Deposit'!AJ48+IF(Components!AK48&gt;0,AI48-Components!AK48,AI48*(1+EarningsRate))</f>
        <v>20838.295217880415</v>
      </c>
      <c r="AK48" s="29">
        <f>'FF Deposit'!AK48+IF(Components!AL48&gt;0,AJ48-Components!AL48,AJ48*(1+EarningsRate))</f>
        <v>22686.787822816426</v>
      </c>
      <c r="AL48" s="29">
        <f>'FF Deposit'!AL48+IF(Components!AM48&gt;0,AK48-Components!AM48,AK48*(1+EarningsRate))</f>
        <v>24574.098772456095</v>
      </c>
      <c r="AM48" s="29">
        <f>'FF Deposit'!AM48+IF(Components!AN48&gt;0,AL48-Components!AN48,AL48*(1+EarningsRate))</f>
        <v>26501.043252038195</v>
      </c>
      <c r="AN48" s="29">
        <f>'FF Deposit'!AN48+IF(Components!AO48&gt;0,AM48-Components!AO48,AM48*(1+EarningsRate))</f>
        <v>28468.453565691518</v>
      </c>
      <c r="AO48" s="29">
        <f>'FF Deposit'!AO48+IF(Components!AP48&gt;0,AN48-Components!AP48,AN48*(1+EarningsRate))</f>
        <v>30477.179495931563</v>
      </c>
      <c r="AP48" s="53"/>
    </row>
    <row r="49" spans="1:42" s="1" customFormat="1">
      <c r="A49" s="220" t="str">
        <f>Components!B49</f>
        <v>Clubhouse Equip</v>
      </c>
      <c r="B49" s="220" t="str">
        <f>Components!C49</f>
        <v>Elevator</v>
      </c>
      <c r="C49" s="211"/>
      <c r="D49" s="211"/>
      <c r="E49" s="82">
        <f>AnalysisYear-Components!I49-Components!J49</f>
        <v>8</v>
      </c>
      <c r="F49" s="82">
        <f>IF(H49&lt;0,Components!K49-MOD(AnalysisYear-Components!I49-Components!J49,Components!K49),AnalysisYear-Components!I49-Components!J49)</f>
        <v>8</v>
      </c>
      <c r="G49" s="11">
        <f>ROUND(Components!H49*IF(H49&lt;0,((1+InflationRate)^F49),((1+InflationRate)^H49)),0)</f>
        <v>296944</v>
      </c>
      <c r="H49" s="82">
        <f>IF(E49&gt;=0,Components!K49-E49,E49)</f>
        <v>32</v>
      </c>
      <c r="I49" s="82"/>
      <c r="J49" s="211"/>
      <c r="K49" s="29">
        <f>IF($H49&gt;0,FV(EarningsRate,F49,-'FF Deposit'!L49,1),Components!$H49)</f>
        <v>41433.005524867986</v>
      </c>
      <c r="L49" s="29">
        <f>'FF Deposit'!L49+IF(Components!M49&gt;0,K49-Components!M49,K49*(1+EarningsRate))</f>
        <v>47113.556944042088</v>
      </c>
      <c r="M49" s="29">
        <f>'FF Deposit'!M49+IF(Components!N49&gt;0,L49-Components!N49,L49*(1+EarningsRate))</f>
        <v>52913.399943018841</v>
      </c>
      <c r="N49" s="29">
        <f>'FF Deposit'!N49+IF(Components!O49&gt;0,M49-Components!O49,M49*(1+EarningsRate))</f>
        <v>58835.039644974109</v>
      </c>
      <c r="O49" s="29">
        <f>'FF Deposit'!O49+IF(Components!P49&gt;0,N49-Components!P49,N49*(1+EarningsRate))</f>
        <v>64881.033780670441</v>
      </c>
      <c r="P49" s="29">
        <f>'FF Deposit'!P49+IF(Components!Q49&gt;0,O49-Components!Q49,O49*(1+EarningsRate))</f>
        <v>71053.993793216388</v>
      </c>
      <c r="Q49" s="29">
        <f>'FF Deposit'!Q49+IF(Components!R49&gt;0,P49-Components!R49,P49*(1+EarningsRate))</f>
        <v>77356.585966025799</v>
      </c>
      <c r="R49" s="29">
        <f>'FF Deposit'!R49+IF(Components!S49&gt;0,Q49-Components!S49,Q49*(1+EarningsRate))</f>
        <v>83791.532574464218</v>
      </c>
      <c r="S49" s="29">
        <f>'FF Deposit'!S49+IF(Components!T49&gt;0,R49-Components!T49,R49*(1+EarningsRate))</f>
        <v>90361.613061679847</v>
      </c>
      <c r="T49" s="29">
        <f>'FF Deposit'!T49+IF(Components!U49&gt;0,S49-Components!U49,S49*(1+EarningsRate))</f>
        <v>97069.665239127004</v>
      </c>
      <c r="U49" s="29">
        <f>'FF Deposit'!U49+IF(Components!V49&gt;0,T49-Components!V49,T49*(1+EarningsRate))</f>
        <v>103918.58651230054</v>
      </c>
      <c r="V49" s="29">
        <f>'FF Deposit'!V49+IF(Components!W49&gt;0,U49-Components!W49,U49*(1+EarningsRate))</f>
        <v>110911.33513221072</v>
      </c>
      <c r="W49" s="29">
        <f>'FF Deposit'!W49+IF(Components!X49&gt;0,V49-Components!X49,V49*(1+EarningsRate))</f>
        <v>118050.931473139</v>
      </c>
      <c r="X49" s="29">
        <f>'FF Deposit'!X49+IF(Components!Y49&gt;0,W49-Components!Y49,W49*(1+EarningsRate))</f>
        <v>125340.45933722678</v>
      </c>
      <c r="Y49" s="29">
        <f>'FF Deposit'!Y49+IF(Components!Z49&gt;0,X49-Components!Z49,X49*(1+EarningsRate))</f>
        <v>132783.06728646043</v>
      </c>
      <c r="Z49" s="29">
        <f>'FF Deposit'!Z49+IF(Components!AA49&gt;0,Y49-Components!AA49,Y49*(1+EarningsRate))</f>
        <v>140381.97000262796</v>
      </c>
      <c r="AA49" s="29">
        <f>'FF Deposit'!AA49+IF(Components!AB49&gt;0,Z49-Components!AB49,Z49*(1+EarningsRate))</f>
        <v>148140.44967583503</v>
      </c>
      <c r="AB49" s="29">
        <f>'FF Deposit'!AB49+IF(Components!AC49&gt;0,AA49-Components!AC49,AA49*(1+EarningsRate))</f>
        <v>156061.85742217943</v>
      </c>
      <c r="AC49" s="29">
        <f>'FF Deposit'!AC49+IF(Components!AD49&gt;0,AB49-Components!AD49,AB49*(1+EarningsRate))</f>
        <v>164149.61473119707</v>
      </c>
      <c r="AD49" s="29">
        <f>'FF Deposit'!AD49+IF(Components!AE49&gt;0,AC49-Components!AE49,AC49*(1+EarningsRate))</f>
        <v>172407.21494370408</v>
      </c>
      <c r="AE49" s="29">
        <f>'FF Deposit'!AE49+IF(Components!AF49&gt;0,AD49-Components!AF49,AD49*(1+EarningsRate))</f>
        <v>180838.22476067374</v>
      </c>
      <c r="AF49" s="29">
        <f>'FF Deposit'!AF49+IF(Components!AG49&gt;0,AE49-Components!AG49,AE49*(1+EarningsRate))</f>
        <v>189446.28578379974</v>
      </c>
      <c r="AG49" s="29">
        <f>'FF Deposit'!AG49+IF(Components!AH49&gt;0,AF49-Components!AH49,AF49*(1+EarningsRate))</f>
        <v>198235.11608841139</v>
      </c>
      <c r="AH49" s="29">
        <f>'FF Deposit'!AH49+IF(Components!AI49&gt;0,AG49-Components!AI49,AG49*(1+EarningsRate))</f>
        <v>207208.51182941991</v>
      </c>
      <c r="AI49" s="29">
        <f>'FF Deposit'!AI49+IF(Components!AJ49&gt;0,AH49-Components!AJ49,AH49*(1+EarningsRate))</f>
        <v>216370.34888098959</v>
      </c>
      <c r="AJ49" s="29">
        <f>'FF Deposit'!AJ49+IF(Components!AK49&gt;0,AI49-Components!AK49,AI49*(1+EarningsRate))</f>
        <v>225724.58451064225</v>
      </c>
      <c r="AK49" s="29">
        <f>'FF Deposit'!AK49+IF(Components!AL49&gt;0,AJ49-Components!AL49,AJ49*(1+EarningsRate))</f>
        <v>235275.2590885176</v>
      </c>
      <c r="AL49" s="29">
        <f>'FF Deposit'!AL49+IF(Components!AM49&gt;0,AK49-Components!AM49,AK49*(1+EarningsRate))</f>
        <v>245026.49783252834</v>
      </c>
      <c r="AM49" s="29">
        <f>'FF Deposit'!AM49+IF(Components!AN49&gt;0,AL49-Components!AN49,AL49*(1+EarningsRate))</f>
        <v>254982.5125901633</v>
      </c>
      <c r="AN49" s="29">
        <f>'FF Deposit'!AN49+IF(Components!AO49&gt;0,AM49-Components!AO49,AM49*(1+EarningsRate))</f>
        <v>265147.60365770856</v>
      </c>
      <c r="AO49" s="29">
        <f>'FF Deposit'!AO49+IF(Components!AP49&gt;0,AN49-Components!AP49,AN49*(1+EarningsRate))</f>
        <v>275526.16163767228</v>
      </c>
      <c r="AP49" s="53"/>
    </row>
    <row r="50" spans="1:42" s="1" customFormat="1">
      <c r="A50" s="220" t="str">
        <f>Components!B50</f>
        <v>Clubhouse Equip</v>
      </c>
      <c r="B50" s="220" t="str">
        <f>Components!C50</f>
        <v>Elevator Motor</v>
      </c>
      <c r="C50" s="211"/>
      <c r="D50" s="211"/>
      <c r="E50" s="82">
        <f>AnalysisYear-Components!I50-Components!J50</f>
        <v>8</v>
      </c>
      <c r="F50" s="82">
        <f>IF(H50&lt;0,Components!K50-MOD(AnalysisYear-Components!I50-Components!J50,Components!K50),AnalysisYear-Components!I50-Components!J50)</f>
        <v>8</v>
      </c>
      <c r="G50" s="11">
        <f>ROUND(Components!H50*IF(H50&lt;0,((1+InflationRate)^F50),((1+InflationRate)^H50)),0)</f>
        <v>21785</v>
      </c>
      <c r="H50" s="82">
        <f>IF(E50&gt;=0,Components!K50-E50,E50)</f>
        <v>7</v>
      </c>
      <c r="I50" s="82"/>
      <c r="J50" s="211"/>
      <c r="K50" s="29">
        <f>IF($H50&gt;0,FV(EarningsRate,F50,-'FF Deposit'!L50,1),Components!$H50)</f>
        <v>10771.13716061396</v>
      </c>
      <c r="L50" s="29">
        <f>'FF Deposit'!L50+IF(Components!M50&gt;0,K50-Components!M50,K50*(1+EarningsRate))</f>
        <v>12247.983974242381</v>
      </c>
      <c r="M50" s="29">
        <f>'FF Deposit'!M50+IF(Components!N50&gt;0,L50-Components!N50,L50*(1+EarningsRate))</f>
        <v>13755.844570956999</v>
      </c>
      <c r="N50" s="29">
        <f>'FF Deposit'!N50+IF(Components!O50&gt;0,M50-Components!O50,M50*(1+EarningsRate))</f>
        <v>15295.370240202623</v>
      </c>
      <c r="O50" s="29">
        <f>'FF Deposit'!O50+IF(Components!P50&gt;0,N50-Components!P50,N50*(1+EarningsRate))</f>
        <v>16867.225948502408</v>
      </c>
      <c r="P50" s="29">
        <f>'FF Deposit'!P50+IF(Components!Q50&gt;0,O50-Components!Q50,O50*(1+EarningsRate))</f>
        <v>18472.090626676487</v>
      </c>
      <c r="Q50" s="29">
        <f>'FF Deposit'!Q50+IF(Components!R50&gt;0,P50-Components!R50,P50*(1+EarningsRate))</f>
        <v>20110.657463092222</v>
      </c>
      <c r="R50" s="29">
        <f>'FF Deposit'!R50+IF(Components!S50&gt;0,Q50-Components!S50,Q50*(1+EarningsRate))</f>
        <v>21783.634203072685</v>
      </c>
      <c r="S50" s="29">
        <f>'FF Deposit'!S50+IF(Components!T50&gt;0,R50-Components!T50,R50*(1+EarningsRate))</f>
        <v>2093.914132479094</v>
      </c>
      <c r="T50" s="29">
        <f>'FF Deposit'!T50+IF(Components!U50&gt;0,S50-Components!U50,S50*(1+EarningsRate))</f>
        <v>4233.1662586675639</v>
      </c>
      <c r="U50" s="29">
        <f>'FF Deposit'!U50+IF(Components!V50&gt;0,T50-Components!V50,T50*(1+EarningsRate))</f>
        <v>6417.3426795059913</v>
      </c>
      <c r="V50" s="29">
        <f>'FF Deposit'!V50+IF(Components!W50&gt;0,U50-Components!W50,U50*(1+EarningsRate))</f>
        <v>8647.3868051820264</v>
      </c>
      <c r="W50" s="29">
        <f>'FF Deposit'!W50+IF(Components!X50&gt;0,V50-Components!X50,V50*(1+EarningsRate))</f>
        <v>10924.261857497258</v>
      </c>
      <c r="X50" s="29">
        <f>'FF Deposit'!X50+IF(Components!Y50&gt;0,W50-Components!Y50,W50*(1+EarningsRate))</f>
        <v>13248.951285911109</v>
      </c>
      <c r="Y50" s="29">
        <f>'FF Deposit'!Y50+IF(Components!Z50&gt;0,X50-Components!Z50,X50*(1+EarningsRate))</f>
        <v>15622.45919232165</v>
      </c>
      <c r="Z50" s="29">
        <f>'FF Deposit'!Z50+IF(Components!AA50&gt;0,Y50-Components!AA50,Y50*(1+EarningsRate))</f>
        <v>18045.810764766811</v>
      </c>
      <c r="AA50" s="29">
        <f>'FF Deposit'!AA50+IF(Components!AB50&gt;0,Z50-Components!AB50,Z50*(1+EarningsRate))</f>
        <v>20520.052720233321</v>
      </c>
      <c r="AB50" s="29">
        <f>'FF Deposit'!AB50+IF(Components!AC50&gt;0,AA50-Components!AC50,AA50*(1+EarningsRate))</f>
        <v>23046.253756764629</v>
      </c>
      <c r="AC50" s="29">
        <f>'FF Deposit'!AC50+IF(Components!AD50&gt;0,AB50-Components!AD50,AB50*(1+EarningsRate))</f>
        <v>25625.505015063092</v>
      </c>
      <c r="AD50" s="29">
        <f>'FF Deposit'!AD50+IF(Components!AE50&gt;0,AC50-Components!AE50,AC50*(1+EarningsRate))</f>
        <v>28258.920549785824</v>
      </c>
      <c r="AE50" s="29">
        <f>'FF Deposit'!AE50+IF(Components!AF50&gt;0,AD50-Components!AF50,AD50*(1+EarningsRate))</f>
        <v>30947.637810737735</v>
      </c>
      <c r="AF50" s="29">
        <f>'FF Deposit'!AF50+IF(Components!AG50&gt;0,AE50-Components!AG50,AE50*(1+EarningsRate))</f>
        <v>33692.818134169633</v>
      </c>
      <c r="AG50" s="29">
        <f>'FF Deposit'!AG50+IF(Components!AH50&gt;0,AF50-Components!AH50,AF50*(1+EarningsRate))</f>
        <v>36495.6472443936</v>
      </c>
      <c r="AH50" s="29">
        <f>'FF Deposit'!AH50+IF(Components!AI50&gt;0,AG50-Components!AI50,AG50*(1+EarningsRate))</f>
        <v>3508.9264082010695</v>
      </c>
      <c r="AI50" s="29">
        <f>'FF Deposit'!AI50+IF(Components!AJ50&gt;0,AH50-Components!AJ50,AH50*(1+EarningsRate))</f>
        <v>7092.8930265807612</v>
      </c>
      <c r="AJ50" s="29">
        <f>'FF Deposit'!AJ50+IF(Components!AK50&gt;0,AI50-Components!AK50,AI50*(1+EarningsRate))</f>
        <v>10752.122943946426</v>
      </c>
      <c r="AK50" s="29">
        <f>'FF Deposit'!AK50+IF(Components!AL50&gt;0,AJ50-Components!AL50,AJ50*(1+EarningsRate))</f>
        <v>14488.196689576769</v>
      </c>
      <c r="AL50" s="29">
        <f>'FF Deposit'!AL50+IF(Components!AM50&gt;0,AK50-Components!AM50,AK50*(1+EarningsRate))</f>
        <v>18302.727983865349</v>
      </c>
      <c r="AM50" s="29">
        <f>'FF Deposit'!AM50+IF(Components!AN50&gt;0,AL50-Components!AN50,AL50*(1+EarningsRate))</f>
        <v>22197.364435333988</v>
      </c>
      <c r="AN50" s="29">
        <f>'FF Deposit'!AN50+IF(Components!AO50&gt;0,AM50-Components!AO50,AM50*(1+EarningsRate))</f>
        <v>26173.78825228347</v>
      </c>
      <c r="AO50" s="29">
        <f>'FF Deposit'!AO50+IF(Components!AP50&gt;0,AN50-Components!AP50,AN50*(1+EarningsRate))</f>
        <v>30233.71696938889</v>
      </c>
      <c r="AP50" s="53"/>
    </row>
    <row r="51" spans="1:42" s="1" customFormat="1">
      <c r="A51" s="220" t="str">
        <f>Components!B51</f>
        <v>Clubhouse Equip</v>
      </c>
      <c r="B51" s="220" t="str">
        <f>Components!C51</f>
        <v>Elevator Tank Assembly</v>
      </c>
      <c r="C51" s="211"/>
      <c r="D51" s="211"/>
      <c r="E51" s="82">
        <f>AnalysisYear-Components!I51-Components!J51</f>
        <v>8</v>
      </c>
      <c r="F51" s="82">
        <f>IF(H51&lt;0,Components!K51-MOD(AnalysisYear-Components!I51-Components!J51,Components!K51),AnalysisYear-Components!I51-Components!J51)</f>
        <v>8</v>
      </c>
      <c r="G51" s="11">
        <f>ROUND(Components!H51*IF(H51&lt;0,((1+InflationRate)^F51),((1+InflationRate)^H51)),0)</f>
        <v>13385</v>
      </c>
      <c r="H51" s="82">
        <f>IF(E51&gt;=0,Components!K51-E51,E51)</f>
        <v>7</v>
      </c>
      <c r="I51" s="82"/>
      <c r="J51" s="211"/>
      <c r="K51" s="29">
        <f>IF($H51&gt;0,FV(EarningsRate,F51,-'FF Deposit'!L51,1),Components!$H51)</f>
        <v>6617.4776910235087</v>
      </c>
      <c r="L51" s="29">
        <f>'FF Deposit'!L51+IF(Components!M51&gt;0,K51-Components!M51,K51*(1+EarningsRate))</f>
        <v>7524.8628777622343</v>
      </c>
      <c r="M51" s="29">
        <f>'FF Deposit'!M51+IF(Components!N51&gt;0,L51-Components!N51,L51*(1+EarningsRate))</f>
        <v>8451.3031534224738</v>
      </c>
      <c r="N51" s="29">
        <f>'FF Deposit'!N51+IF(Components!O51&gt;0,M51-Components!O51,M51*(1+EarningsRate))</f>
        <v>9397.1986748715772</v>
      </c>
      <c r="O51" s="29">
        <f>'FF Deposit'!O51+IF(Components!P51&gt;0,N51-Components!P51,N51*(1+EarningsRate))</f>
        <v>10362.958002271112</v>
      </c>
      <c r="P51" s="29">
        <f>'FF Deposit'!P51+IF(Components!Q51&gt;0,O51-Components!Q51,O51*(1+EarningsRate))</f>
        <v>11348.998275546039</v>
      </c>
      <c r="Q51" s="29">
        <f>'FF Deposit'!Q51+IF(Components!R51&gt;0,P51-Components!R51,P51*(1+EarningsRate))</f>
        <v>12355.745394559737</v>
      </c>
      <c r="R51" s="29">
        <f>'FF Deposit'!R51+IF(Components!S51&gt;0,Q51-Components!S51,Q51*(1+EarningsRate))</f>
        <v>13383.634203072723</v>
      </c>
      <c r="S51" s="29">
        <f>'FF Deposit'!S51+IF(Components!T51&gt;0,R51-Components!T51,R51*(1+EarningsRate))</f>
        <v>1286.0026609613981</v>
      </c>
      <c r="T51" s="29">
        <f>'FF Deposit'!T51+IF(Components!U51&gt;0,S51-Components!U51,S51*(1+EarningsRate))</f>
        <v>2600.3771747302626</v>
      </c>
      <c r="U51" s="29">
        <f>'FF Deposit'!U51+IF(Components!V51&gt;0,T51-Components!V51,T51*(1+EarningsRate))</f>
        <v>3942.3535532882734</v>
      </c>
      <c r="V51" s="29">
        <f>'FF Deposit'!V51+IF(Components!W51&gt;0,U51-Components!W51,U51*(1+EarningsRate))</f>
        <v>5312.5114357960019</v>
      </c>
      <c r="W51" s="29">
        <f>'FF Deposit'!W51+IF(Components!X51&gt;0,V51-Components!X51,V51*(1+EarningsRate))</f>
        <v>6711.4426338363928</v>
      </c>
      <c r="X51" s="29">
        <f>'FF Deposit'!X51+IF(Components!Y51&gt;0,W51-Components!Y51,W51*(1+EarningsRate))</f>
        <v>8139.7513870356315</v>
      </c>
      <c r="Y51" s="29">
        <f>'FF Deposit'!Y51+IF(Components!Z51&gt;0,X51-Components!Z51,X51*(1+EarningsRate))</f>
        <v>9598.0546240520544</v>
      </c>
      <c r="Z51" s="29">
        <f>'FF Deposit'!Z51+IF(Components!AA51&gt;0,Y51-Components!AA51,Y51*(1+EarningsRate))</f>
        <v>11086.982229045821</v>
      </c>
      <c r="AA51" s="29">
        <f>'FF Deposit'!AA51+IF(Components!AB51&gt;0,Z51-Components!AB51,Z51*(1+EarningsRate))</f>
        <v>12607.177313744458</v>
      </c>
      <c r="AB51" s="29">
        <f>'FF Deposit'!AB51+IF(Components!AC51&gt;0,AA51-Components!AC51,AA51*(1+EarningsRate))</f>
        <v>14159.296495221766</v>
      </c>
      <c r="AC51" s="29">
        <f>'FF Deposit'!AC51+IF(Components!AD51&gt;0,AB51-Components!AD51,AB51*(1+EarningsRate))</f>
        <v>15744.010179510096</v>
      </c>
      <c r="AD51" s="29">
        <f>'FF Deposit'!AD51+IF(Components!AE51&gt;0,AC51-Components!AE51,AC51*(1+EarningsRate))</f>
        <v>17362.002851168483</v>
      </c>
      <c r="AE51" s="29">
        <f>'FF Deposit'!AE51+IF(Components!AF51&gt;0,AD51-Components!AF51,AD51*(1+EarningsRate))</f>
        <v>19013.973368931696</v>
      </c>
      <c r="AF51" s="29">
        <f>'FF Deposit'!AF51+IF(Components!AG51&gt;0,AE51-Components!AG51,AE51*(1+EarningsRate))</f>
        <v>20700.635267567934</v>
      </c>
      <c r="AG51" s="29">
        <f>'FF Deposit'!AG51+IF(Components!AH51&gt;0,AF51-Components!AH51,AF51*(1+EarningsRate))</f>
        <v>22422.717066075533</v>
      </c>
      <c r="AH51" s="29">
        <f>'FF Deposit'!AH51+IF(Components!AI51&gt;0,AG51-Components!AI51,AG51*(1+EarningsRate))</f>
        <v>2154.5521552166269</v>
      </c>
      <c r="AI51" s="29">
        <f>'FF Deposit'!AI51+IF(Components!AJ51&gt;0,AH51-Components!AJ51,AH51*(1+EarningsRate))</f>
        <v>4356.6328396172703</v>
      </c>
      <c r="AJ51" s="29">
        <f>'FF Deposit'!AJ51+IF(Components!AK51&gt;0,AI51-Components!AK51,AI51*(1+EarningsRate))</f>
        <v>6604.9572183903274</v>
      </c>
      <c r="AK51" s="29">
        <f>'FF Deposit'!AK51+IF(Components!AL51&gt;0,AJ51-Components!AL51,AJ51*(1+EarningsRate))</f>
        <v>8900.4964091176171</v>
      </c>
      <c r="AL51" s="29">
        <f>'FF Deposit'!AL51+IF(Components!AM51&gt;0,AK51-Components!AM51,AK51*(1+EarningsRate))</f>
        <v>11244.24192285018</v>
      </c>
      <c r="AM51" s="29">
        <f>'FF Deposit'!AM51+IF(Components!AN51&gt;0,AL51-Components!AN51,AL51*(1+EarningsRate))</f>
        <v>13637.206092371127</v>
      </c>
      <c r="AN51" s="29">
        <f>'FF Deposit'!AN51+IF(Components!AO51&gt;0,AM51-Components!AO51,AM51*(1+EarningsRate))</f>
        <v>16080.422509452013</v>
      </c>
      <c r="AO51" s="29">
        <f>'FF Deposit'!AO51+IF(Components!AP51&gt;0,AN51-Components!AP51,AN51*(1+EarningsRate))</f>
        <v>18574.946471291601</v>
      </c>
      <c r="AP51" s="53"/>
    </row>
    <row r="52" spans="1:42" s="1" customFormat="1">
      <c r="A52" s="220" t="str">
        <f>Components!B52</f>
        <v>Clubhouse Equip</v>
      </c>
      <c r="B52" s="220" t="str">
        <f>Components!C52</f>
        <v>Fire alarm system - Club</v>
      </c>
      <c r="C52" s="211"/>
      <c r="D52" s="211"/>
      <c r="E52" s="82">
        <f>AnalysisYear-Components!I52-Components!J52</f>
        <v>8</v>
      </c>
      <c r="F52" s="82">
        <f>IF(H52&lt;0,Components!K52-MOD(AnalysisYear-Components!I52-Components!J52,Components!K52),AnalysisYear-Components!I52-Components!J52)</f>
        <v>8</v>
      </c>
      <c r="G52" s="11">
        <f>ROUND(Components!H52*IF(H52&lt;0,((1+InflationRate)^F52),((1+InflationRate)^H52)),0)</f>
        <v>30287</v>
      </c>
      <c r="H52" s="82">
        <f>IF(E52&gt;=0,Components!K52-E52,E52)</f>
        <v>7</v>
      </c>
      <c r="I52" s="82"/>
      <c r="J52" s="211"/>
      <c r="K52" s="29">
        <f>IF($H52&gt;0,FV(EarningsRate,F52,-'FF Deposit'!L52,1),Components!$H52)</f>
        <v>14975.233923763719</v>
      </c>
      <c r="L52" s="29">
        <f>'FF Deposit'!L52+IF(Components!M52&gt;0,K52-Components!M52,K52*(1+EarningsRate))</f>
        <v>17028.457255465495</v>
      </c>
      <c r="M52" s="29">
        <f>'FF Deposit'!M52+IF(Components!N52&gt;0,L52-Components!N52,L52*(1+EarningsRate))</f>
        <v>19124.79827713301</v>
      </c>
      <c r="N52" s="29">
        <f>'FF Deposit'!N52+IF(Components!O52&gt;0,M52-Components!O52,M52*(1+EarningsRate))</f>
        <v>21265.162460255542</v>
      </c>
      <c r="O52" s="29">
        <f>'FF Deposit'!O52+IF(Components!P52&gt;0,N52-Components!P52,N52*(1+EarningsRate))</f>
        <v>23450.474291223647</v>
      </c>
      <c r="P52" s="29">
        <f>'FF Deposit'!P52+IF(Components!Q52&gt;0,O52-Components!Q52,O52*(1+EarningsRate))</f>
        <v>25681.677670642082</v>
      </c>
      <c r="Q52" s="29">
        <f>'FF Deposit'!Q52+IF(Components!R52&gt;0,P52-Components!R52,P52*(1+EarningsRate))</f>
        <v>27959.736321028304</v>
      </c>
      <c r="R52" s="29">
        <f>'FF Deposit'!R52+IF(Components!S52&gt;0,Q52-Components!S52,Q52*(1+EarningsRate))</f>
        <v>30285.634203072637</v>
      </c>
      <c r="S52" s="29">
        <f>'FF Deposit'!S52+IF(Components!T52&gt;0,R52-Components!T52,R52*(1+EarningsRate))</f>
        <v>2911.6359575794963</v>
      </c>
      <c r="T52" s="29">
        <f>'FF Deposit'!T52+IF(Components!U52&gt;0,S52-Components!U52,S52*(1+EarningsRate))</f>
        <v>5885.7820671955251</v>
      </c>
      <c r="U52" s="29">
        <f>'FF Deposit'!U52+IF(Components!V52&gt;0,T52-Components!V52,T52*(1+EarningsRate))</f>
        <v>8922.3852451134899</v>
      </c>
      <c r="V52" s="29">
        <f>'FF Deposit'!V52+IF(Components!W52&gt;0,U52-Components!W52,U52*(1+EarningsRate))</f>
        <v>12022.757089767731</v>
      </c>
      <c r="W52" s="29">
        <f>'FF Deposit'!W52+IF(Components!X52&gt;0,V52-Components!X52,V52*(1+EarningsRate))</f>
        <v>15188.23674315971</v>
      </c>
      <c r="X52" s="29">
        <f>'FF Deposit'!X52+IF(Components!Y52&gt;0,W52-Components!Y52,W52*(1+EarningsRate))</f>
        <v>18420.191469272922</v>
      </c>
      <c r="Y52" s="29">
        <f>'FF Deposit'!Y52+IF(Components!Z52&gt;0,X52-Components!Z52,X52*(1+EarningsRate))</f>
        <v>21720.01724463451</v>
      </c>
      <c r="Z52" s="29">
        <f>'FF Deposit'!Z52+IF(Components!AA52&gt;0,Y52-Components!AA52,Y52*(1+EarningsRate))</f>
        <v>25089.139361278692</v>
      </c>
      <c r="AA52" s="29">
        <f>'FF Deposit'!AA52+IF(Components!AB52&gt;0,Z52-Components!AB52,Z52*(1+EarningsRate))</f>
        <v>28529.0130423724</v>
      </c>
      <c r="AB52" s="29">
        <f>'FF Deposit'!AB52+IF(Components!AC52&gt;0,AA52-Components!AC52,AA52*(1+EarningsRate))</f>
        <v>32041.124070769078</v>
      </c>
      <c r="AC52" s="29">
        <f>'FF Deposit'!AC52+IF(Components!AD52&gt;0,AB52-Components!AD52,AB52*(1+EarningsRate))</f>
        <v>35626.989430762085</v>
      </c>
      <c r="AD52" s="29">
        <f>'FF Deposit'!AD52+IF(Components!AE52&gt;0,AC52-Components!AE52,AC52*(1+EarningsRate))</f>
        <v>39288.157963314945</v>
      </c>
      <c r="AE52" s="29">
        <f>'FF Deposit'!AE52+IF(Components!AF52&gt;0,AD52-Components!AF52,AD52*(1+EarningsRate))</f>
        <v>43026.211035051419</v>
      </c>
      <c r="AF52" s="29">
        <f>'FF Deposit'!AF52+IF(Components!AG52&gt;0,AE52-Components!AG52,AE52*(1+EarningsRate))</f>
        <v>46842.763221294357</v>
      </c>
      <c r="AG52" s="29">
        <f>'FF Deposit'!AG52+IF(Components!AH52&gt;0,AF52-Components!AH52,AF52*(1+EarningsRate))</f>
        <v>50739.4630034484</v>
      </c>
      <c r="AH52" s="29">
        <f>'FF Deposit'!AH52+IF(Components!AI52&gt;0,AG52-Components!AI52,AG52*(1+EarningsRate))</f>
        <v>4878.7291911009415</v>
      </c>
      <c r="AI52" s="29">
        <f>'FF Deposit'!AI52+IF(Components!AJ52&gt;0,AH52-Components!AJ52,AH52*(1+EarningsRate))</f>
        <v>9861.4486917666036</v>
      </c>
      <c r="AJ52" s="29">
        <f>'FF Deposit'!AJ52+IF(Components!AK52&gt;0,AI52-Components!AK52,AI52*(1+EarningsRate))</f>
        <v>14948.805301946242</v>
      </c>
      <c r="AK52" s="29">
        <f>'FF Deposit'!AK52+IF(Components!AL52&gt;0,AJ52-Components!AL52,AJ52*(1+EarningsRate))</f>
        <v>20142.996400939654</v>
      </c>
      <c r="AL52" s="29">
        <f>'FF Deposit'!AL52+IF(Components!AM52&gt;0,AK52-Components!AM52,AK52*(1+EarningsRate))</f>
        <v>25446.265513011927</v>
      </c>
      <c r="AM52" s="29">
        <f>'FF Deposit'!AM52+IF(Components!AN52&gt;0,AL52-Components!AN52,AL52*(1+EarningsRate))</f>
        <v>30860.903276437719</v>
      </c>
      <c r="AN52" s="29">
        <f>'FF Deposit'!AN52+IF(Components!AO52&gt;0,AM52-Components!AO52,AM52*(1+EarningsRate))</f>
        <v>36389.248432895445</v>
      </c>
      <c r="AO52" s="29">
        <f>'FF Deposit'!AO52+IF(Components!AP52&gt;0,AN52-Components!AP52,AN52*(1+EarningsRate))</f>
        <v>42033.688837638794</v>
      </c>
      <c r="AP52" s="53"/>
    </row>
    <row r="53" spans="1:42" s="1" customFormat="1">
      <c r="A53" s="220" t="str">
        <f>Components!B53</f>
        <v>Clubhouse Equip</v>
      </c>
      <c r="B53" s="220" t="str">
        <f>Components!C53</f>
        <v xml:space="preserve">Kilns </v>
      </c>
      <c r="C53" s="211"/>
      <c r="D53" s="211"/>
      <c r="E53" s="82">
        <f>AnalysisYear-Components!I53-Components!J53</f>
        <v>8</v>
      </c>
      <c r="F53" s="82">
        <f>IF(H53&lt;0,Components!K53-MOD(AnalysisYear-Components!I53-Components!J53,Components!K53),AnalysisYear-Components!I53-Components!J53)</f>
        <v>8</v>
      </c>
      <c r="G53" s="11">
        <f>ROUND(Components!H53*IF(H53&lt;0,((1+InflationRate)^F53),((1+InflationRate)^H53)),0)</f>
        <v>28212</v>
      </c>
      <c r="H53" s="82">
        <f>IF(E53&gt;=0,Components!K53-E53,E53)</f>
        <v>2</v>
      </c>
      <c r="I53" s="82"/>
      <c r="J53" s="211"/>
      <c r="K53" s="29">
        <f>IF($H53&gt;0,FV(EarningsRate,F53,-'FF Deposit'!L53,1),Components!$H53)</f>
        <v>22089.897637416077</v>
      </c>
      <c r="L53" s="29">
        <f>'FF Deposit'!L53+IF(Components!M53&gt;0,K53-Components!M53,K53*(1+EarningsRate))</f>
        <v>25118.532651951122</v>
      </c>
      <c r="M53" s="29">
        <f>'FF Deposit'!M53+IF(Components!N53&gt;0,L53-Components!N53,L53*(1+EarningsRate))</f>
        <v>28210.769001791403</v>
      </c>
      <c r="N53" s="29">
        <f>'FF Deposit'!N53+IF(Components!O53&gt;0,M53-Components!O53,M53*(1+EarningsRate))</f>
        <v>3616.5981728469551</v>
      </c>
      <c r="O53" s="29">
        <f>'FF Deposit'!O53+IF(Components!P53&gt;0,N53-Components!P53,N53*(1+EarningsRate))</f>
        <v>7310.3759055322935</v>
      </c>
      <c r="P53" s="29">
        <f>'FF Deposit'!P53+IF(Components!Q53&gt;0,O53-Components!Q53,O53*(1+EarningsRate))</f>
        <v>11081.722970604023</v>
      </c>
      <c r="Q53" s="29">
        <f>'FF Deposit'!Q53+IF(Components!R53&gt;0,P53-Components!R53,P53*(1+EarningsRate))</f>
        <v>14932.268324042259</v>
      </c>
      <c r="R53" s="29">
        <f>'FF Deposit'!R53+IF(Components!S53&gt;0,Q53-Components!S53,Q53*(1+EarningsRate))</f>
        <v>18863.675129902698</v>
      </c>
      <c r="S53" s="29">
        <f>'FF Deposit'!S53+IF(Components!T53&gt;0,R53-Components!T53,R53*(1+EarningsRate))</f>
        <v>22877.641478686208</v>
      </c>
      <c r="T53" s="29">
        <f>'FF Deposit'!T53+IF(Components!U53&gt;0,S53-Components!U53,S53*(1+EarningsRate))</f>
        <v>26975.901120794169</v>
      </c>
      <c r="U53" s="29">
        <f>'FF Deposit'!U53+IF(Components!V53&gt;0,T53-Components!V53,T53*(1+EarningsRate))</f>
        <v>31160.224215386399</v>
      </c>
      <c r="V53" s="29">
        <f>'FF Deposit'!V53+IF(Components!W53&gt;0,U53-Components!W53,U53*(1+EarningsRate))</f>
        <v>35432.418094965062</v>
      </c>
      <c r="W53" s="29">
        <f>'FF Deposit'!W53+IF(Components!X53&gt;0,V53-Components!X53,V53*(1+EarningsRate))</f>
        <v>39794.328046014874</v>
      </c>
      <c r="X53" s="29">
        <f>'FF Deposit'!X53+IF(Components!Y53&gt;0,W53-Components!Y53,W53*(1+EarningsRate))</f>
        <v>5101.6574693569528</v>
      </c>
      <c r="Y53" s="29">
        <f>'FF Deposit'!Y53+IF(Components!Z53&gt;0,X53-Components!Z53,X53*(1+EarningsRate))</f>
        <v>10312.121699555526</v>
      </c>
      <c r="Z53" s="29">
        <f>'FF Deposit'!Z53+IF(Components!AA53&gt;0,Y53-Components!AA53,Y53*(1+EarningsRate))</f>
        <v>15632.00567858827</v>
      </c>
      <c r="AA53" s="29">
        <f>'FF Deposit'!AA53+IF(Components!AB53&gt;0,Z53-Components!AB53,Z53*(1+EarningsRate))</f>
        <v>21063.6072211807</v>
      </c>
      <c r="AB53" s="29">
        <f>'FF Deposit'!AB53+IF(Components!AC53&gt;0,AA53-Components!AC53,AA53*(1+EarningsRate))</f>
        <v>26609.272396167573</v>
      </c>
      <c r="AC53" s="29">
        <f>'FF Deposit'!AC53+IF(Components!AD53&gt;0,AB53-Components!AD53,AB53*(1+EarningsRate))</f>
        <v>32271.396539829169</v>
      </c>
      <c r="AD53" s="29">
        <f>'FF Deposit'!AD53+IF(Components!AE53&gt;0,AC53-Components!AE53,AC53*(1+EarningsRate))</f>
        <v>38052.425290507657</v>
      </c>
      <c r="AE53" s="29">
        <f>'FF Deposit'!AE53+IF(Components!AF53&gt;0,AD53-Components!AF53,AD53*(1+EarningsRate))</f>
        <v>43954.855644950396</v>
      </c>
      <c r="AF53" s="29">
        <f>'FF Deposit'!AF53+IF(Components!AG53&gt;0,AE53-Components!AG53,AE53*(1+EarningsRate))</f>
        <v>49981.237036836435</v>
      </c>
      <c r="AG53" s="29">
        <f>'FF Deposit'!AG53+IF(Components!AH53&gt;0,AF53-Components!AH53,AF53*(1+EarningsRate))</f>
        <v>56134.172437952075</v>
      </c>
      <c r="AH53" s="29">
        <f>'FF Deposit'!AH53+IF(Components!AI53&gt;0,AG53-Components!AI53,AG53*(1+EarningsRate))</f>
        <v>7196.898453348872</v>
      </c>
      <c r="AI53" s="29">
        <f>'FF Deposit'!AI53+IF(Components!AJ53&gt;0,AH53-Components!AJ53,AH53*(1+EarningsRate))</f>
        <v>14546.759336265994</v>
      </c>
      <c r="AJ53" s="29">
        <f>'FF Deposit'!AJ53+IF(Components!AK53&gt;0,AI53-Components!AK53,AI53*(1+EarningsRate))</f>
        <v>22050.967297724375</v>
      </c>
      <c r="AK53" s="29">
        <f>'FF Deposit'!AK53+IF(Components!AL53&gt;0,AJ53-Components!AL53,AJ53*(1+EarningsRate))</f>
        <v>29712.763626373384</v>
      </c>
      <c r="AL53" s="29">
        <f>'FF Deposit'!AL53+IF(Components!AM53&gt;0,AK53-Components!AM53,AK53*(1+EarningsRate))</f>
        <v>37535.457677924016</v>
      </c>
      <c r="AM53" s="29">
        <f>'FF Deposit'!AM53+IF(Components!AN53&gt;0,AL53-Components!AN53,AL53*(1+EarningsRate))</f>
        <v>45522.428304557208</v>
      </c>
      <c r="AN53" s="29">
        <f>'FF Deposit'!AN53+IF(Components!AO53&gt;0,AM53-Components!AO53,AM53*(1+EarningsRate))</f>
        <v>53677.125314349702</v>
      </c>
      <c r="AO53" s="29">
        <f>'FF Deposit'!AO53+IF(Components!AP53&gt;0,AN53-Components!AP53,AN53*(1+EarningsRate))</f>
        <v>62003.070961347832</v>
      </c>
      <c r="AP53" s="53"/>
    </row>
    <row r="54" spans="1:42" s="1" customFormat="1">
      <c r="A54" s="220" t="str">
        <f>Components!B54</f>
        <v>Clubhouse Equip</v>
      </c>
      <c r="B54" s="220" t="str">
        <f>Components!C54</f>
        <v>Lobby chairs</v>
      </c>
      <c r="C54" s="211"/>
      <c r="D54" s="211"/>
      <c r="E54" s="82">
        <f>AnalysisYear-Components!I54-Components!J54</f>
        <v>8</v>
      </c>
      <c r="F54" s="82">
        <f>IF(H54&lt;0,Components!K54-MOD(AnalysisYear-Components!I54-Components!J54,Components!K54),AnalysisYear-Components!I54-Components!J54)</f>
        <v>8</v>
      </c>
      <c r="G54" s="11">
        <f>ROUND(Components!H54*IF(H54&lt;0,((1+InflationRate)^F54),((1+InflationRate)^H54)),0)</f>
        <v>8244</v>
      </c>
      <c r="H54" s="82">
        <f>IF(E54&gt;=0,Components!K54-E54,E54)</f>
        <v>1</v>
      </c>
      <c r="I54" s="82"/>
      <c r="J54" s="211"/>
      <c r="K54" s="29">
        <f>IF($H54&gt;0,FV(EarningsRate,F54,-'FF Deposit'!L54,1),Components!$H54)</f>
        <v>7248.8489129363106</v>
      </c>
      <c r="L54" s="29">
        <f>'FF Deposit'!L54+IF(Components!M54&gt;0,K54-Components!M54,K54*(1+EarningsRate))</f>
        <v>8242.7943210494795</v>
      </c>
      <c r="M54" s="29">
        <f>'FF Deposit'!M54+IF(Components!N54&gt;0,L54-Components!N54,L54*(1+EarningsRate))</f>
        <v>1145.9717100993523</v>
      </c>
      <c r="N54" s="29">
        <f>'FF Deposit'!N54+IF(Components!O54&gt;0,M54-Components!O54,M54*(1+EarningsRate))</f>
        <v>2317.2145050613117</v>
      </c>
      <c r="O54" s="29">
        <f>'FF Deposit'!O54+IF(Components!P54&gt;0,N54-Components!P54,N54*(1+EarningsRate))</f>
        <v>3513.0533987174722</v>
      </c>
      <c r="P54" s="29">
        <f>'FF Deposit'!P54+IF(Components!Q54&gt;0,O54-Components!Q54,O54*(1+EarningsRate))</f>
        <v>4734.0049091404117</v>
      </c>
      <c r="Q54" s="29">
        <f>'FF Deposit'!Q54+IF(Components!R54&gt;0,P54-Components!R54,P54*(1+EarningsRate))</f>
        <v>5980.5964012822324</v>
      </c>
      <c r="R54" s="29">
        <f>'FF Deposit'!R54+IF(Components!S54&gt;0,Q54-Components!S54,Q54*(1+EarningsRate))</f>
        <v>7253.3663147590314</v>
      </c>
      <c r="S54" s="29">
        <f>'FF Deposit'!S54+IF(Components!T54&gt;0,R54-Components!T54,R54*(1+EarningsRate))</f>
        <v>8552.8643964188432</v>
      </c>
      <c r="T54" s="29">
        <f>'FF Deposit'!T54+IF(Components!U54&gt;0,S54-Components!U54,S54*(1+EarningsRate))</f>
        <v>9879.651937793511</v>
      </c>
      <c r="U54" s="29">
        <f>'FF Deposit'!U54+IF(Components!V54&gt;0,T54-Components!V54,T54*(1+EarningsRate))</f>
        <v>11234.302017537048</v>
      </c>
      <c r="V54" s="29">
        <f>'FF Deposit'!V54+IF(Components!W54&gt;0,U54-Components!W54,U54*(1+EarningsRate))</f>
        <v>1561.8252032920657</v>
      </c>
      <c r="W54" s="29">
        <f>'FF Deposit'!W54+IF(Components!X54&gt;0,V54-Components!X54,V54*(1+EarningsRate))</f>
        <v>3158.1467183162172</v>
      </c>
      <c r="X54" s="29">
        <f>'FF Deposit'!X54+IF(Components!Y54&gt;0,W54-Components!Y54,W54*(1+EarningsRate))</f>
        <v>4787.9909851558759</v>
      </c>
      <c r="Y54" s="29">
        <f>'FF Deposit'!Y54+IF(Components!Z54&gt;0,X54-Components!Z54,X54*(1+EarningsRate))</f>
        <v>6452.0619815991668</v>
      </c>
      <c r="Z54" s="29">
        <f>'FF Deposit'!Z54+IF(Components!AA54&gt;0,Y54-Components!AA54,Y54*(1+EarningsRate))</f>
        <v>8151.0784689677666</v>
      </c>
      <c r="AA54" s="29">
        <f>'FF Deposit'!AA54+IF(Components!AB54&gt;0,Z54-Components!AB54,Z54*(1+EarningsRate))</f>
        <v>9885.7743025711079</v>
      </c>
      <c r="AB54" s="29">
        <f>'FF Deposit'!AB54+IF(Components!AC54&gt;0,AA54-Components!AC54,AA54*(1+EarningsRate))</f>
        <v>11656.89874868012</v>
      </c>
      <c r="AC54" s="29">
        <f>'FF Deposit'!AC54+IF(Components!AD54&gt;0,AB54-Components!AD54,AB54*(1+EarningsRate))</f>
        <v>13465.21680815742</v>
      </c>
      <c r="AD54" s="29">
        <f>'FF Deposit'!AD54+IF(Components!AE54&gt;0,AC54-Components!AE54,AC54*(1+EarningsRate))</f>
        <v>15311.509546883743</v>
      </c>
      <c r="AE54" s="29">
        <f>'FF Deposit'!AE54+IF(Components!AF54&gt;0,AD54-Components!AF54,AD54*(1+EarningsRate))</f>
        <v>2128.49869485921</v>
      </c>
      <c r="AF54" s="29">
        <f>'FF Deposit'!AF54+IF(Components!AG54&gt;0,AE54-Components!AG54,AE54*(1+EarningsRate))</f>
        <v>4304.1863154267212</v>
      </c>
      <c r="AG54" s="29">
        <f>'FF Deposit'!AG54+IF(Components!AH54&gt;0,AF54-Components!AH54,AF54*(1+EarningsRate))</f>
        <v>6525.5633760261499</v>
      </c>
      <c r="AH54" s="29">
        <f>'FF Deposit'!AH54+IF(Components!AI54&gt;0,AG54-Components!AI54,AG54*(1+EarningsRate))</f>
        <v>8793.5893548981658</v>
      </c>
      <c r="AI54" s="29">
        <f>'FF Deposit'!AI54+IF(Components!AJ54&gt;0,AH54-Components!AJ54,AH54*(1+EarningsRate))</f>
        <v>11109.243879326494</v>
      </c>
      <c r="AJ54" s="29">
        <f>'FF Deposit'!AJ54+IF(Components!AK54&gt;0,AI54-Components!AK54,AI54*(1+EarningsRate))</f>
        <v>13473.527148767816</v>
      </c>
      <c r="AK54" s="29">
        <f>'FF Deposit'!AK54+IF(Components!AL54&gt;0,AJ54-Components!AL54,AJ54*(1+EarningsRate))</f>
        <v>15887.460366867408</v>
      </c>
      <c r="AL54" s="29">
        <f>'FF Deposit'!AL54+IF(Components!AM54&gt;0,AK54-Components!AM54,AK54*(1+EarningsRate))</f>
        <v>18352.086182547089</v>
      </c>
      <c r="AM54" s="29">
        <f>'FF Deposit'!AM54+IF(Components!AN54&gt;0,AL54-Components!AN54,AL54*(1+EarningsRate))</f>
        <v>20868.469140356043</v>
      </c>
      <c r="AN54" s="29">
        <f>'FF Deposit'!AN54+IF(Components!AO54&gt;0,AM54-Components!AO54,AM54*(1+EarningsRate))</f>
        <v>2901.7315477868888</v>
      </c>
      <c r="AO54" s="29">
        <f>'FF Deposit'!AO54+IF(Components!AP54&gt;0,AN54-Components!AP54,AN54*(1+EarningsRate))</f>
        <v>5866.9303177212587</v>
      </c>
      <c r="AP54" s="53"/>
    </row>
    <row r="55" spans="1:42" s="1" customFormat="1">
      <c r="A55" s="220" t="str">
        <f>Components!B55</f>
        <v>Clubhouse Equip</v>
      </c>
      <c r="B55" s="220" t="str">
        <f>Components!C55</f>
        <v>Lobby, café chair, arms</v>
      </c>
      <c r="C55" s="211"/>
      <c r="D55" s="211"/>
      <c r="E55" s="82">
        <f>AnalysisYear-Components!I55-Components!J55</f>
        <v>8</v>
      </c>
      <c r="F55" s="82">
        <f>IF(H55&lt;0,Components!K55-MOD(AnalysisYear-Components!I55-Components!J55,Components!K55),AnalysisYear-Components!I55-Components!J55)</f>
        <v>8</v>
      </c>
      <c r="G55" s="11">
        <f>ROUND(Components!H55*IF(H55&lt;0,((1+InflationRate)^F55),((1+InflationRate)^H55)),0)</f>
        <v>8428</v>
      </c>
      <c r="H55" s="82">
        <f>IF(E55&gt;=0,Components!K55-E55,E55)</f>
        <v>1</v>
      </c>
      <c r="I55" s="82"/>
      <c r="J55" s="211"/>
      <c r="K55" s="29">
        <f>IF($H55&gt;0,FV(EarningsRate,F55,-'FF Deposit'!L55,1),Components!$H55)</f>
        <v>7410.664230983989</v>
      </c>
      <c r="L55" s="29">
        <f>'FF Deposit'!L55+IF(Components!M55&gt;0,K55-Components!M55,K55*(1+EarningsRate))</f>
        <v>8426.7943210494777</v>
      </c>
      <c r="M55" s="29">
        <f>'FF Deposit'!M55+IF(Components!N55&gt;0,L55-Components!N55,L55*(1+EarningsRate))</f>
        <v>1171.5758633726614</v>
      </c>
      <c r="N55" s="29">
        <f>'FF Deposit'!N55+IF(Components!O55&gt;0,M55-Components!O55,M55*(1+EarningsRate))</f>
        <v>2368.960498826671</v>
      </c>
      <c r="O55" s="29">
        <f>'FF Deposit'!O55+IF(Components!P55&gt;0,N55-Components!P55,N55*(1+EarningsRate))</f>
        <v>3591.4902116252147</v>
      </c>
      <c r="P55" s="29">
        <f>'FF Deposit'!P55+IF(Components!Q55&gt;0,O55-Components!Q55,O55*(1+EarningsRate))</f>
        <v>4839.693048392528</v>
      </c>
      <c r="Q55" s="29">
        <f>'FF Deposit'!Q55+IF(Components!R55&gt;0,P55-Components!R55,P55*(1+EarningsRate))</f>
        <v>6114.1081447319539</v>
      </c>
      <c r="R55" s="29">
        <f>'FF Deposit'!R55+IF(Components!S55&gt;0,Q55-Components!S55,Q55*(1+EarningsRate))</f>
        <v>7415.2859580945078</v>
      </c>
      <c r="S55" s="29">
        <f>'FF Deposit'!S55+IF(Components!T55&gt;0,R55-Components!T55,R55*(1+EarningsRate))</f>
        <v>8743.7885055376755</v>
      </c>
      <c r="T55" s="29">
        <f>'FF Deposit'!T55+IF(Components!U55&gt;0,S55-Components!U55,S55*(1+EarningsRate))</f>
        <v>10100.18960647715</v>
      </c>
      <c r="U55" s="29">
        <f>'FF Deposit'!U55+IF(Components!V55&gt;0,T55-Components!V55,T55*(1+EarningsRate))</f>
        <v>11485.075130536354</v>
      </c>
      <c r="V55" s="29">
        <f>'FF Deposit'!V55+IF(Components!W55&gt;0,U55-Components!W55,U55*(1+EarningsRate))</f>
        <v>1597.386568021414</v>
      </c>
      <c r="W55" s="29">
        <f>'FF Deposit'!W55+IF(Components!X55&gt;0,V55-Components!X55,V55*(1+EarningsRate))</f>
        <v>3229.2431234349237</v>
      </c>
      <c r="X55" s="29">
        <f>'FF Deposit'!X55+IF(Components!Y55&gt;0,W55-Components!Y55,W55*(1+EarningsRate))</f>
        <v>4895.3686665121168</v>
      </c>
      <c r="Y55" s="29">
        <f>'FF Deposit'!Y55+IF(Components!Z55&gt;0,X55-Components!Z55,X55*(1+EarningsRate))</f>
        <v>6596.4828459939308</v>
      </c>
      <c r="Z55" s="29">
        <f>'FF Deposit'!Z55+IF(Components!AA55&gt;0,Y55-Components!AA55,Y55*(1+EarningsRate))</f>
        <v>8333.3204232448625</v>
      </c>
      <c r="AA55" s="29">
        <f>'FF Deposit'!AA55+IF(Components!AB55&gt;0,Z55-Components!AB55,Z55*(1+EarningsRate))</f>
        <v>10106.631589618064</v>
      </c>
      <c r="AB55" s="29">
        <f>'FF Deposit'!AB55+IF(Components!AC55&gt;0,AA55-Components!AC55,AA55*(1+EarningsRate))</f>
        <v>11917.182290485103</v>
      </c>
      <c r="AC55" s="29">
        <f>'FF Deposit'!AC55+IF(Components!AD55&gt;0,AB55-Components!AD55,AB55*(1+EarningsRate))</f>
        <v>13765.754556070351</v>
      </c>
      <c r="AD55" s="29">
        <f>'FF Deposit'!AD55+IF(Components!AE55&gt;0,AC55-Components!AE55,AC55*(1+EarningsRate))</f>
        <v>15653.146839232886</v>
      </c>
      <c r="AE55" s="29">
        <f>'FF Deposit'!AE55+IF(Components!AF55&gt;0,AD55-Components!AF55,AD55*(1+EarningsRate))</f>
        <v>2177.4480095612103</v>
      </c>
      <c r="AF55" s="29">
        <f>'FF Deposit'!AF55+IF(Components!AG55&gt;0,AE55-Components!AG55,AE55*(1+EarningsRate))</f>
        <v>4401.4755880903194</v>
      </c>
      <c r="AG55" s="29">
        <f>'FF Deposit'!AG55+IF(Components!AH55&gt;0,AF55-Components!AH55,AF55*(1+EarningsRate))</f>
        <v>6672.2077457685391</v>
      </c>
      <c r="AH55" s="29">
        <f>'FF Deposit'!AH55+IF(Components!AI55&gt;0,AG55-Components!AI55,AG55*(1+EarningsRate))</f>
        <v>8990.6252787580015</v>
      </c>
      <c r="AI55" s="29">
        <f>'FF Deposit'!AI55+IF(Components!AJ55&gt;0,AH55-Components!AJ55,AH55*(1+EarningsRate))</f>
        <v>11357.729579940244</v>
      </c>
      <c r="AJ55" s="29">
        <f>'FF Deposit'!AJ55+IF(Components!AK55&gt;0,AI55-Components!AK55,AI55*(1+EarningsRate))</f>
        <v>13774.543071447313</v>
      </c>
      <c r="AK55" s="29">
        <f>'FF Deposit'!AK55+IF(Components!AL55&gt;0,AJ55-Components!AL55,AJ55*(1+EarningsRate))</f>
        <v>16242.109646276031</v>
      </c>
      <c r="AL55" s="29">
        <f>'FF Deposit'!AL55+IF(Components!AM55&gt;0,AK55-Components!AM55,AK55*(1+EarningsRate))</f>
        <v>18761.49511917615</v>
      </c>
      <c r="AM55" s="29">
        <f>'FF Deposit'!AM55+IF(Components!AN55&gt;0,AL55-Components!AN55,AL55*(1+EarningsRate))</f>
        <v>21333.78768700717</v>
      </c>
      <c r="AN55" s="29">
        <f>'FF Deposit'!AN55+IF(Components!AO55&gt;0,AM55-Components!AO55,AM55*(1+EarningsRate))</f>
        <v>2967.6170896489743</v>
      </c>
      <c r="AO55" s="29">
        <f>'FF Deposit'!AO55+IF(Components!AP55&gt;0,AN55-Components!AP55,AN55*(1+EarningsRate))</f>
        <v>5998.7664511734065</v>
      </c>
      <c r="AP55" s="53"/>
    </row>
    <row r="56" spans="1:42" s="1" customFormat="1">
      <c r="A56" s="220" t="str">
        <f>Components!B56</f>
        <v>Clubhouse Equip</v>
      </c>
      <c r="B56" s="220" t="str">
        <f>Components!C56</f>
        <v>Locker Room Showers/Wall Tile</v>
      </c>
      <c r="C56" s="211"/>
      <c r="D56" s="211"/>
      <c r="E56" s="82">
        <f>AnalysisYear-Components!I56-Components!J56</f>
        <v>8</v>
      </c>
      <c r="F56" s="82">
        <f>IF(H56&lt;0,Components!K56-MOD(AnalysisYear-Components!I56-Components!J56,Components!K56),AnalysisYear-Components!I56-Components!J56)</f>
        <v>8</v>
      </c>
      <c r="G56" s="11">
        <f>ROUND(Components!H56*IF(H56&lt;0,((1+InflationRate)^F56),((1+InflationRate)^H56)),0)</f>
        <v>43455</v>
      </c>
      <c r="H56" s="82">
        <f>IF(E56&gt;=0,Components!K56-E56,E56)</f>
        <v>7</v>
      </c>
      <c r="I56" s="82"/>
      <c r="J56" s="211"/>
      <c r="K56" s="29">
        <f>IF($H56&gt;0,FV(EarningsRate,F56,-'FF Deposit'!L56,1),Components!$H56)</f>
        <v>21486.589625616936</v>
      </c>
      <c r="L56" s="29">
        <f>'FF Deposit'!L56+IF(Components!M56&gt;0,K56-Components!M56,K56*(1+EarningsRate))</f>
        <v>24432.511850519135</v>
      </c>
      <c r="M56" s="29">
        <f>'FF Deposit'!M56+IF(Components!N56&gt;0,L56-Components!N56,L56*(1+EarningsRate))</f>
        <v>27440.298442144278</v>
      </c>
      <c r="N56" s="29">
        <f>'FF Deposit'!N56+IF(Components!O56&gt;0,M56-Components!O56,M56*(1+EarningsRate))</f>
        <v>30511.248552193549</v>
      </c>
      <c r="O56" s="29">
        <f>'FF Deposit'!O56+IF(Components!P56&gt;0,N56-Components!P56,N56*(1+EarningsRate))</f>
        <v>33646.688614553852</v>
      </c>
      <c r="P56" s="29">
        <f>'FF Deposit'!P56+IF(Components!Q56&gt;0,O56-Components!Q56,O56*(1+EarningsRate))</f>
        <v>36847.972918223721</v>
      </c>
      <c r="Q56" s="29">
        <f>'FF Deposit'!Q56+IF(Components!R56&gt;0,P56-Components!R56,P56*(1+EarningsRate))</f>
        <v>40116.484192270655</v>
      </c>
      <c r="R56" s="29">
        <f>'FF Deposit'!R56+IF(Components!S56&gt;0,Q56-Components!S56,Q56*(1+EarningsRate))</f>
        <v>43453.634203072572</v>
      </c>
      <c r="S56" s="29">
        <f>'FF Deposit'!S56+IF(Components!T56&gt;0,R56-Components!T56,R56*(1+EarningsRate))</f>
        <v>4178.1333691205646</v>
      </c>
      <c r="T56" s="29">
        <f>'FF Deposit'!T56+IF(Components!U56&gt;0,S56-Components!U56,S56*(1+EarningsRate))</f>
        <v>8445.3733359200887</v>
      </c>
      <c r="U56" s="29">
        <f>'FF Deposit'!U56+IF(Components!V56&gt;0,T56-Components!V56,T56*(1+EarningsRate))</f>
        <v>12802.225342022404</v>
      </c>
      <c r="V56" s="29">
        <f>'FF Deposit'!V56+IF(Components!W56&gt;0,U56-Components!W56,U56*(1+EarningsRate))</f>
        <v>17250.571240252866</v>
      </c>
      <c r="W56" s="29">
        <f>'FF Deposit'!W56+IF(Components!X56&gt;0,V56-Components!X56,V56*(1+EarningsRate))</f>
        <v>21792.332402346168</v>
      </c>
      <c r="X56" s="29">
        <f>'FF Deposit'!X56+IF(Components!Y56&gt;0,W56-Components!Y56,W56*(1+EarningsRate))</f>
        <v>26429.47054884343</v>
      </c>
      <c r="Y56" s="29">
        <f>'FF Deposit'!Y56+IF(Components!Z56&gt;0,X56-Components!Z56,X56*(1+EarningsRate))</f>
        <v>31163.988596417134</v>
      </c>
      <c r="Z56" s="29">
        <f>'FF Deposit'!Z56+IF(Components!AA56&gt;0,Y56-Components!AA56,Y56*(1+EarningsRate))</f>
        <v>35997.931522989886</v>
      </c>
      <c r="AA56" s="29">
        <f>'FF Deposit'!AA56+IF(Components!AB56&gt;0,Z56-Components!AB56,Z56*(1+EarningsRate))</f>
        <v>40933.387251020664</v>
      </c>
      <c r="AB56" s="29">
        <f>'FF Deposit'!AB56+IF(Components!AC56&gt;0,AA56-Components!AC56,AA56*(1+EarningsRate))</f>
        <v>45972.48754934009</v>
      </c>
      <c r="AC56" s="29">
        <f>'FF Deposit'!AC56+IF(Components!AD56&gt;0,AB56-Components!AD56,AB56*(1+EarningsRate))</f>
        <v>51117.40895392422</v>
      </c>
      <c r="AD56" s="29">
        <f>'FF Deposit'!AD56+IF(Components!AE56&gt;0,AC56-Components!AE56,AC56*(1+EarningsRate))</f>
        <v>56370.373708004619</v>
      </c>
      <c r="AE56" s="29">
        <f>'FF Deposit'!AE56+IF(Components!AF56&gt;0,AD56-Components!AF56,AD56*(1+EarningsRate))</f>
        <v>61733.650721920705</v>
      </c>
      <c r="AF56" s="29">
        <f>'FF Deposit'!AF56+IF(Components!AG56&gt;0,AE56-Components!AG56,AE56*(1+EarningsRate))</f>
        <v>67209.556553129019</v>
      </c>
      <c r="AG56" s="29">
        <f>'FF Deposit'!AG56+IF(Components!AH56&gt;0,AF56-Components!AH56,AF56*(1+EarningsRate))</f>
        <v>72800.456406792713</v>
      </c>
      <c r="AH56" s="29">
        <f>'FF Deposit'!AH56+IF(Components!AI56&gt;0,AG56-Components!AI56,AG56*(1+EarningsRate))</f>
        <v>7000.5481864872472</v>
      </c>
      <c r="AI56" s="29">
        <f>'FF Deposit'!AI56+IF(Components!AJ56&gt;0,AH56-Components!AJ56,AH56*(1+EarningsRate))</f>
        <v>14149.651478098014</v>
      </c>
      <c r="AJ56" s="29">
        <f>'FF Deposit'!AJ56+IF(Components!AK56&gt;0,AI56-Components!AK56,AI56*(1+EarningsRate))</f>
        <v>21448.885938832605</v>
      </c>
      <c r="AK56" s="29">
        <f>'FF Deposit'!AK56+IF(Components!AL56&gt;0,AJ56-Components!AL56,AJ56*(1+EarningsRate))</f>
        <v>28901.404323242619</v>
      </c>
      <c r="AL56" s="29">
        <f>'FF Deposit'!AL56+IF(Components!AM56&gt;0,AK56-Components!AM56,AK56*(1+EarningsRate))</f>
        <v>36510.425593725246</v>
      </c>
      <c r="AM56" s="29">
        <f>'FF Deposit'!AM56+IF(Components!AN56&gt;0,AL56-Components!AN56,AL56*(1+EarningsRate))</f>
        <v>44279.236310888009</v>
      </c>
      <c r="AN56" s="29">
        <f>'FF Deposit'!AN56+IF(Components!AO56&gt;0,AM56-Components!AO56,AM56*(1+EarningsRate))</f>
        <v>52211.19205311119</v>
      </c>
      <c r="AO56" s="29">
        <f>'FF Deposit'!AO56+IF(Components!AP56&gt;0,AN56-Components!AP56,AN56*(1+EarningsRate))</f>
        <v>60309.718865921059</v>
      </c>
      <c r="AP56" s="53"/>
    </row>
    <row r="57" spans="1:42" s="1" customFormat="1">
      <c r="A57" s="220" t="str">
        <f>Components!B57</f>
        <v>Clubhouse Equip</v>
      </c>
      <c r="B57" s="220" t="str">
        <f>Components!C57</f>
        <v>Lockers</v>
      </c>
      <c r="C57" s="211"/>
      <c r="D57" s="211"/>
      <c r="E57" s="82">
        <f>AnalysisYear-Components!I57-Components!J57</f>
        <v>8</v>
      </c>
      <c r="F57" s="82">
        <f>IF(H57&lt;0,Components!K57-MOD(AnalysisYear-Components!I57-Components!J57,Components!K57),AnalysisYear-Components!I57-Components!J57)</f>
        <v>8</v>
      </c>
      <c r="G57" s="11">
        <f>ROUND(Components!H57*IF(H57&lt;0,((1+InflationRate)^F57),((1+InflationRate)^H57)),0)</f>
        <v>30221</v>
      </c>
      <c r="H57" s="82">
        <f>IF(E57&gt;=0,Components!K57-E57,E57)</f>
        <v>7</v>
      </c>
      <c r="I57" s="82"/>
      <c r="J57" s="211"/>
      <c r="K57" s="29">
        <f>IF($H57&gt;0,FV(EarningsRate,F57,-'FF Deposit'!L57,1),Components!$H57)</f>
        <v>14942.598027931223</v>
      </c>
      <c r="L57" s="29">
        <f>'FF Deposit'!L57+IF(Components!M57&gt;0,K57-Components!M57,K57*(1+EarningsRate))</f>
        <v>16991.347018278866</v>
      </c>
      <c r="M57" s="29">
        <f>'FF Deposit'!M57+IF(Components!N57&gt;0,L57-Components!N57,L57*(1+EarningsRate))</f>
        <v>19083.119737423811</v>
      </c>
      <c r="N57" s="29">
        <f>'FF Deposit'!N57+IF(Components!O57&gt;0,M57-Components!O57,M57*(1+EarningsRate))</f>
        <v>21218.819683670798</v>
      </c>
      <c r="O57" s="29">
        <f>'FF Deposit'!O57+IF(Components!P57&gt;0,N57-Components!P57,N57*(1+EarningsRate))</f>
        <v>23399.369328788973</v>
      </c>
      <c r="P57" s="29">
        <f>'FF Deposit'!P57+IF(Components!Q57&gt;0,O57-Components!Q57,O57*(1+EarningsRate))</f>
        <v>25625.710516454626</v>
      </c>
      <c r="Q57" s="29">
        <f>'FF Deposit'!Q57+IF(Components!R57&gt;0,P57-Components!R57,P57*(1+EarningsRate))</f>
        <v>27898.80486906126</v>
      </c>
      <c r="R57" s="29">
        <f>'FF Deposit'!R57+IF(Components!S57&gt;0,Q57-Components!S57,Q57*(1+EarningsRate))</f>
        <v>30219.634203072634</v>
      </c>
      <c r="S57" s="29">
        <f>'FF Deposit'!S57+IF(Components!T57&gt;0,R57-Components!T57,R57*(1+EarningsRate))</f>
        <v>2905.2880817318537</v>
      </c>
      <c r="T57" s="29">
        <f>'FF Deposit'!T57+IF(Components!U57&gt;0,S57-Components!U57,S57*(1+EarningsRate))</f>
        <v>5872.9530101074424</v>
      </c>
      <c r="U57" s="29">
        <f>'FF Deposit'!U57+IF(Components!V57&gt;0,T57-Components!V57,T57*(1+EarningsRate))</f>
        <v>8902.9389019789178</v>
      </c>
      <c r="V57" s="29">
        <f>'FF Deposit'!V57+IF(Components!W57&gt;0,U57-Components!W57,U57*(1+EarningsRate))</f>
        <v>11996.554497579695</v>
      </c>
      <c r="W57" s="29">
        <f>'FF Deposit'!W57+IF(Components!X57&gt;0,V57-Components!X57,V57*(1+EarningsRate))</f>
        <v>15155.136020688089</v>
      </c>
      <c r="X57" s="29">
        <f>'FF Deposit'!X57+IF(Components!Y57&gt;0,W57-Components!Y57,W57*(1+EarningsRate))</f>
        <v>18380.047755781758</v>
      </c>
      <c r="Y57" s="29">
        <f>'FF Deposit'!Y57+IF(Components!Z57&gt;0,X57-Components!Z57,X57*(1+EarningsRate))</f>
        <v>21672.682637312395</v>
      </c>
      <c r="Z57" s="29">
        <f>'FF Deposit'!Z57+IF(Components!AA57&gt;0,Y57-Components!AA57,Y57*(1+EarningsRate))</f>
        <v>25034.462851355172</v>
      </c>
      <c r="AA57" s="29">
        <f>'FF Deposit'!AA57+IF(Components!AB57&gt;0,Z57-Components!AB57,Z57*(1+EarningsRate))</f>
        <v>28466.84044989285</v>
      </c>
      <c r="AB57" s="29">
        <f>'FF Deposit'!AB57+IF(Components!AC57&gt;0,AA57-Components!AC57,AA57*(1+EarningsRate))</f>
        <v>31971.297977999817</v>
      </c>
      <c r="AC57" s="29">
        <f>'FF Deposit'!AC57+IF(Components!AD57&gt;0,AB57-Components!AD57,AB57*(1+EarningsRate))</f>
        <v>35549.34911419703</v>
      </c>
      <c r="AD57" s="29">
        <f>'FF Deposit'!AD57+IF(Components!AE57&gt;0,AC57-Components!AE57,AC57*(1+EarningsRate))</f>
        <v>39202.539324254387</v>
      </c>
      <c r="AE57" s="29">
        <f>'FF Deposit'!AE57+IF(Components!AF57&gt;0,AD57-Components!AF57,AD57*(1+EarningsRate))</f>
        <v>42932.446528722947</v>
      </c>
      <c r="AF57" s="29">
        <f>'FF Deposit'!AF57+IF(Components!AG57&gt;0,AE57-Components!AG57,AE57*(1+EarningsRate))</f>
        <v>46740.681784485343</v>
      </c>
      <c r="AG57" s="29">
        <f>'FF Deposit'!AG57+IF(Components!AH57&gt;0,AF57-Components!AH57,AF57*(1+EarningsRate))</f>
        <v>50628.889980618755</v>
      </c>
      <c r="AH57" s="29">
        <f>'FF Deposit'!AH57+IF(Components!AI57&gt;0,AG57-Components!AI57,AG57*(1+EarningsRate))</f>
        <v>4867.5763751918976</v>
      </c>
      <c r="AI57" s="29">
        <f>'FF Deposit'!AI57+IF(Components!AJ57&gt;0,AH57-Components!AJ57,AH57*(1+EarningsRate))</f>
        <v>9839.4818736440702</v>
      </c>
      <c r="AJ57" s="29">
        <f>'FF Deposit'!AJ57+IF(Components!AK57&gt;0,AI57-Components!AK57,AI57*(1+EarningsRate))</f>
        <v>14915.797387563736</v>
      </c>
      <c r="AK57" s="29">
        <f>'FF Deposit'!AK57+IF(Components!AL57&gt;0,AJ57-Components!AL57,AJ57*(1+EarningsRate))</f>
        <v>20098.715527275715</v>
      </c>
      <c r="AL57" s="29">
        <f>'FF Deposit'!AL57+IF(Components!AM57&gt;0,AK57-Components!AM57,AK57*(1+EarningsRate))</f>
        <v>25390.474947921644</v>
      </c>
      <c r="AM57" s="29">
        <f>'FF Deposit'!AM57+IF(Components!AN57&gt;0,AL57-Components!AN57,AL57*(1+EarningsRate))</f>
        <v>30793.36131640114</v>
      </c>
      <c r="AN57" s="29">
        <f>'FF Deposit'!AN57+IF(Components!AO57&gt;0,AM57-Components!AO57,AM57*(1+EarningsRate))</f>
        <v>36309.708298618709</v>
      </c>
      <c r="AO57" s="29">
        <f>'FF Deposit'!AO57+IF(Components!AP57&gt;0,AN57-Components!AP57,AN57*(1+EarningsRate))</f>
        <v>41941.898567462842</v>
      </c>
      <c r="AP57" s="53"/>
    </row>
    <row r="58" spans="1:42" s="1" customFormat="1">
      <c r="A58" s="220" t="str">
        <f>Components!B58</f>
        <v>Clubhouse Equip</v>
      </c>
      <c r="B58" s="220" t="str">
        <f>Components!C58</f>
        <v>Piano - Auditorium</v>
      </c>
      <c r="C58" s="211"/>
      <c r="D58" s="211"/>
      <c r="E58" s="82">
        <f>AnalysisYear-Components!I58-Components!J58</f>
        <v>8</v>
      </c>
      <c r="F58" s="82">
        <f>IF(H58&lt;0,Components!K58-MOD(AnalysisYear-Components!I58-Components!J58,Components!K58),AnalysisYear-Components!I58-Components!J58)</f>
        <v>8</v>
      </c>
      <c r="G58" s="11">
        <f>ROUND(Components!H58*IF(H58&lt;0,((1+InflationRate)^F58),((1+InflationRate)^H58)),0)</f>
        <v>16631</v>
      </c>
      <c r="H58" s="82">
        <f>IF(E58&gt;=0,Components!K58-E58,E58)</f>
        <v>2</v>
      </c>
      <c r="I58" s="82"/>
      <c r="J58" s="211"/>
      <c r="K58" s="29">
        <f>IF($H58&gt;0,FV(EarningsRate,F58,-'FF Deposit'!L58,1),Components!$H58)</f>
        <v>13021.530264825262</v>
      </c>
      <c r="L58" s="29">
        <f>'FF Deposit'!L58+IF(Components!M58&gt;0,K58-Components!M58,K58*(1+EarningsRate))</f>
        <v>14806.903217307305</v>
      </c>
      <c r="M58" s="29">
        <f>'FF Deposit'!M58+IF(Components!N58&gt;0,L58-Components!N58,L58*(1+EarningsRate))</f>
        <v>16629.769001791468</v>
      </c>
      <c r="N58" s="29">
        <f>'FF Deposit'!N58+IF(Components!O58&gt;0,M58-Components!O58,M58*(1+EarningsRate))</f>
        <v>2131.4826322971003</v>
      </c>
      <c r="O58" s="29">
        <f>'FF Deposit'!O58+IF(Components!P58&gt;0,N58-Components!P58,N58*(1+EarningsRate))</f>
        <v>4308.957398080971</v>
      </c>
      <c r="P58" s="29">
        <f>'FF Deposit'!P58+IF(Components!Q58&gt;0,O58-Components!Q58,O58*(1+EarningsRate))</f>
        <v>6532.159133946303</v>
      </c>
      <c r="Q58" s="29">
        <f>'FF Deposit'!Q58+IF(Components!R58&gt;0,P58-Components!R58,P58*(1+EarningsRate))</f>
        <v>8802.0481062648068</v>
      </c>
      <c r="R58" s="29">
        <f>'FF Deposit'!R58+IF(Components!S58&gt;0,Q58-Components!S58,Q58*(1+EarningsRate))</f>
        <v>11119.604747001998</v>
      </c>
      <c r="S58" s="29">
        <f>'FF Deposit'!S58+IF(Components!T58&gt;0,R58-Components!T58,R58*(1+EarningsRate))</f>
        <v>13485.830077194671</v>
      </c>
      <c r="T58" s="29">
        <f>'FF Deposit'!T58+IF(Components!U58&gt;0,S58-Components!U58,S58*(1+EarningsRate))</f>
        <v>15901.746139321389</v>
      </c>
      <c r="U58" s="29">
        <f>'FF Deposit'!U58+IF(Components!V58&gt;0,T58-Components!V58,T58*(1+EarningsRate))</f>
        <v>18368.396438752767</v>
      </c>
      <c r="V58" s="29">
        <f>'FF Deposit'!V58+IF(Components!W58&gt;0,U58-Components!W58,U58*(1+EarningsRate))</f>
        <v>20886.846394472203</v>
      </c>
      <c r="W58" s="29">
        <f>'FF Deposit'!W58+IF(Components!X58&gt;0,V58-Components!X58,V58*(1+EarningsRate))</f>
        <v>23458.183799261751</v>
      </c>
      <c r="X58" s="29">
        <f>'FF Deposit'!X58+IF(Components!Y58&gt;0,W58-Components!Y58,W58*(1+EarningsRate))</f>
        <v>3007.5013422857196</v>
      </c>
      <c r="Y58" s="29">
        <f>'FF Deposit'!Y58+IF(Components!Z58&gt;0,X58-Components!Z58,X58*(1+EarningsRate))</f>
        <v>6078.9764134976886</v>
      </c>
      <c r="Z58" s="29">
        <f>'FF Deposit'!Z58+IF(Components!AA58&gt;0,Y58-Components!AA58,Y58*(1+EarningsRate))</f>
        <v>9214.9524612051082</v>
      </c>
      <c r="AA58" s="29">
        <f>'FF Deposit'!AA58+IF(Components!AB58&gt;0,Z58-Components!AB58,Z58*(1+EarningsRate))</f>
        <v>12416.784005914382</v>
      </c>
      <c r="AB58" s="29">
        <f>'FF Deposit'!AB58+IF(Components!AC58&gt;0,AA58-Components!AC58,AA58*(1+EarningsRate))</f>
        <v>15685.854013062552</v>
      </c>
      <c r="AC58" s="29">
        <f>'FF Deposit'!AC58+IF(Components!AD58&gt;0,AB58-Components!AD58,AB58*(1+EarningsRate))</f>
        <v>19023.574490360832</v>
      </c>
      <c r="AD58" s="29">
        <f>'FF Deposit'!AD58+IF(Components!AE58&gt;0,AC58-Components!AE58,AC58*(1+EarningsRate))</f>
        <v>22431.387097682375</v>
      </c>
      <c r="AE58" s="29">
        <f>'FF Deposit'!AE58+IF(Components!AF58&gt;0,AD58-Components!AF58,AD58*(1+EarningsRate))</f>
        <v>25910.763769757672</v>
      </c>
      <c r="AF58" s="29">
        <f>'FF Deposit'!AF58+IF(Components!AG58&gt;0,AE58-Components!AG58,AE58*(1+EarningsRate))</f>
        <v>29463.207351946548</v>
      </c>
      <c r="AG58" s="29">
        <f>'FF Deposit'!AG58+IF(Components!AH58&gt;0,AF58-Components!AH58,AF58*(1+EarningsRate))</f>
        <v>33090.252249361394</v>
      </c>
      <c r="AH58" s="29">
        <f>'FF Deposit'!AH58+IF(Components!AI58&gt;0,AG58-Components!AI58,AG58*(1+EarningsRate))</f>
        <v>4241.8791786315742</v>
      </c>
      <c r="AI58" s="29">
        <f>'FF Deposit'!AI58+IF(Components!AJ58&gt;0,AH58-Components!AJ58,AH58*(1+EarningsRate))</f>
        <v>8574.5855706530165</v>
      </c>
      <c r="AJ58" s="29">
        <f>'FF Deposit'!AJ58+IF(Components!AK58&gt;0,AI58-Components!AK58,AI58*(1+EarningsRate))</f>
        <v>12998.278796906909</v>
      </c>
      <c r="AK58" s="29">
        <f>'FF Deposit'!AK58+IF(Components!AL58&gt;0,AJ58-Components!AL58,AJ58*(1+EarningsRate))</f>
        <v>17514.869580912135</v>
      </c>
      <c r="AL58" s="29">
        <f>'FF Deposit'!AL58+IF(Components!AM58&gt;0,AK58-Components!AM58,AK58*(1+EarningsRate))</f>
        <v>22126.308771381468</v>
      </c>
      <c r="AM58" s="29">
        <f>'FF Deposit'!AM58+IF(Components!AN58&gt;0,AL58-Components!AN58,AL58*(1+EarningsRate))</f>
        <v>26834.588184850658</v>
      </c>
      <c r="AN58" s="29">
        <f>'FF Deposit'!AN58+IF(Components!AO58&gt;0,AM58-Components!AO58,AM58*(1+EarningsRate))</f>
        <v>31641.741466002699</v>
      </c>
      <c r="AO58" s="29">
        <f>'FF Deposit'!AO58+IF(Components!AP58&gt;0,AN58-Components!AP58,AN58*(1+EarningsRate))</f>
        <v>36549.844966058932</v>
      </c>
      <c r="AP58" s="53"/>
    </row>
    <row r="59" spans="1:42" s="1" customFormat="1">
      <c r="A59" s="220" t="str">
        <f>Components!B59</f>
        <v>Clubhouse Equip</v>
      </c>
      <c r="B59" s="220" t="str">
        <f>Components!C59</f>
        <v>Clubhouse Office Upgrade</v>
      </c>
      <c r="C59" s="211"/>
      <c r="D59" s="211"/>
      <c r="E59" s="82">
        <f>AnalysisYear-Components!I59-Components!J59</f>
        <v>8</v>
      </c>
      <c r="F59" s="82">
        <f>IF(H59&lt;0,Components!K59-MOD(AnalysisYear-Components!I59-Components!J59,Components!K59),AnalysisYear-Components!I59-Components!J59)</f>
        <v>8</v>
      </c>
      <c r="G59" s="11">
        <f>ROUND(Components!H59*IF(H59&lt;0,((1+InflationRate)^F59),((1+InflationRate)^H59)),0)</f>
        <v>45667</v>
      </c>
      <c r="H59" s="82">
        <f>IF(E59&gt;=0,Components!K59-E59,E59)</f>
        <v>22</v>
      </c>
      <c r="I59" s="82"/>
      <c r="J59" s="211"/>
      <c r="K59" s="29">
        <f>IF($H59&gt;0,FV(EarningsRate,F59,-'FF Deposit'!L59,1),Components!$H59)</f>
        <v>9543.8342643085434</v>
      </c>
      <c r="L59" s="29">
        <f>'FF Deposit'!L59+IF(Components!M59&gt;0,K59-Components!M59,K59*(1+EarningsRate))</f>
        <v>10852.419353755366</v>
      </c>
      <c r="M59" s="29">
        <f>'FF Deposit'!M59+IF(Components!N59&gt;0,L59-Components!N59,L59*(1+EarningsRate))</f>
        <v>12188.48473008057</v>
      </c>
      <c r="N59" s="29">
        <f>'FF Deposit'!N59+IF(Components!O59&gt;0,M59-Components!O59,M59*(1+EarningsRate))</f>
        <v>13552.607479308605</v>
      </c>
      <c r="O59" s="29">
        <f>'FF Deposit'!O59+IF(Components!P59&gt;0,N59-Components!P59,N59*(1+EarningsRate))</f>
        <v>14945.376806270428</v>
      </c>
      <c r="P59" s="29">
        <f>'FF Deposit'!P59+IF(Components!Q59&gt;0,O59-Components!Q59,O59*(1+EarningsRate))</f>
        <v>16367.394289098449</v>
      </c>
      <c r="Q59" s="29">
        <f>'FF Deposit'!Q59+IF(Components!R59&gt;0,P59-Components!R59,P59*(1+EarningsRate))</f>
        <v>17819.274139065859</v>
      </c>
      <c r="R59" s="29">
        <f>'FF Deposit'!R59+IF(Components!S59&gt;0,Q59-Components!S59,Q59*(1+EarningsRate))</f>
        <v>19301.643465882586</v>
      </c>
      <c r="S59" s="29">
        <f>'FF Deposit'!S59+IF(Components!T59&gt;0,R59-Components!T59,R59*(1+EarningsRate))</f>
        <v>20815.14254856246</v>
      </c>
      <c r="T59" s="29">
        <f>'FF Deposit'!T59+IF(Components!U59&gt;0,S59-Components!U59,S59*(1+EarningsRate))</f>
        <v>22360.425111978613</v>
      </c>
      <c r="U59" s="29">
        <f>'FF Deposit'!U59+IF(Components!V59&gt;0,T59-Components!V59,T59*(1+EarningsRate))</f>
        <v>23938.158609226506</v>
      </c>
      <c r="V59" s="29">
        <f>'FF Deposit'!V59+IF(Components!W59&gt;0,U59-Components!W59,U59*(1+EarningsRate))</f>
        <v>25549.024509916606</v>
      </c>
      <c r="W59" s="29">
        <f>'FF Deposit'!W59+IF(Components!X59&gt;0,V59-Components!X59,V59*(1+EarningsRate))</f>
        <v>27193.718594521197</v>
      </c>
      <c r="X59" s="29">
        <f>'FF Deposit'!X59+IF(Components!Y59&gt;0,W59-Components!Y59,W59*(1+EarningsRate))</f>
        <v>28872.951254902484</v>
      </c>
      <c r="Y59" s="29">
        <f>'FF Deposit'!Y59+IF(Components!Z59&gt;0,X59-Components!Z59,X59*(1+EarningsRate))</f>
        <v>30587.447801151779</v>
      </c>
      <c r="Z59" s="29">
        <f>'FF Deposit'!Z59+IF(Components!AA59&gt;0,Y59-Components!AA59,Y59*(1+EarningsRate))</f>
        <v>32337.948774872308</v>
      </c>
      <c r="AA59" s="29">
        <f>'FF Deposit'!AA59+IF(Components!AB59&gt;0,Z59-Components!AB59,Z59*(1+EarningsRate))</f>
        <v>34125.210269040967</v>
      </c>
      <c r="AB59" s="29">
        <f>'FF Deposit'!AB59+IF(Components!AC59&gt;0,AA59-Components!AC59,AA59*(1+EarningsRate))</f>
        <v>35950.004254587162</v>
      </c>
      <c r="AC59" s="29">
        <f>'FF Deposit'!AC59+IF(Components!AD59&gt;0,AB59-Components!AD59,AB59*(1+EarningsRate))</f>
        <v>37813.118913829829</v>
      </c>
      <c r="AD59" s="29">
        <f>'FF Deposit'!AD59+IF(Components!AE59&gt;0,AC59-Components!AE59,AC59*(1+EarningsRate))</f>
        <v>39715.358980916593</v>
      </c>
      <c r="AE59" s="29">
        <f>'FF Deposit'!AE59+IF(Components!AF59&gt;0,AD59-Components!AF59,AD59*(1+EarningsRate))</f>
        <v>41657.546089412179</v>
      </c>
      <c r="AF59" s="29">
        <f>'FF Deposit'!AF59+IF(Components!AG59&gt;0,AE59-Components!AG59,AE59*(1+EarningsRate))</f>
        <v>43640.519127186169</v>
      </c>
      <c r="AG59" s="29">
        <f>'FF Deposit'!AG59+IF(Components!AH59&gt;0,AF59-Components!AH59,AF59*(1+EarningsRate))</f>
        <v>45665.134598753415</v>
      </c>
      <c r="AH59" s="29">
        <f>'FF Deposit'!AH59+IF(Components!AI59&gt;0,AG59-Components!AI59,AG59*(1+EarningsRate))</f>
        <v>3108.5239373129666</v>
      </c>
      <c r="AI59" s="29">
        <f>'FF Deposit'!AI59+IF(Components!AJ59&gt;0,AH59-Components!AJ59,AH59*(1+EarningsRate))</f>
        <v>6284.1922785560901</v>
      </c>
      <c r="AJ59" s="29">
        <f>'FF Deposit'!AJ59+IF(Components!AK59&gt;0,AI59-Components!AK59,AI59*(1+EarningsRate))</f>
        <v>9526.549654965318</v>
      </c>
      <c r="AK59" s="29">
        <f>'FF Deposit'!AK59+IF(Components!AL59&gt;0,AJ59-Components!AL59,AJ59*(1+EarningsRate))</f>
        <v>12836.996536279141</v>
      </c>
      <c r="AL59" s="29">
        <f>'FF Deposit'!AL59+IF(Components!AM59&gt;0,AK59-Components!AM59,AK59*(1+EarningsRate))</f>
        <v>16216.962802100552</v>
      </c>
      <c r="AM59" s="29">
        <f>'FF Deposit'!AM59+IF(Components!AN59&gt;0,AL59-Components!AN59,AL59*(1+EarningsRate))</f>
        <v>19667.908359504214</v>
      </c>
      <c r="AN59" s="29">
        <f>'FF Deposit'!AN59+IF(Components!AO59&gt;0,AM59-Components!AO59,AM59*(1+EarningsRate))</f>
        <v>23191.323773613352</v>
      </c>
      <c r="AO59" s="29">
        <f>'FF Deposit'!AO59+IF(Components!AP59&gt;0,AN59-Components!AP59,AN59*(1+EarningsRate))</f>
        <v>26788.730911418781</v>
      </c>
      <c r="AP59" s="53"/>
    </row>
    <row r="60" spans="1:42" s="1" customFormat="1">
      <c r="A60" s="220" t="str">
        <f>Components!B60</f>
        <v>Clubhouse Equip</v>
      </c>
      <c r="B60" s="220" t="str">
        <f>Components!C60</f>
        <v>Sauna, Men's, replace</v>
      </c>
      <c r="C60" s="211"/>
      <c r="D60" s="211"/>
      <c r="E60" s="82">
        <f>AnalysisYear-Components!I60-Components!J60</f>
        <v>8</v>
      </c>
      <c r="F60" s="82">
        <f>IF(H60&lt;0,Components!K60-MOD(AnalysisYear-Components!I60-Components!J60,Components!K60),AnalysisYear-Components!I60-Components!J60)</f>
        <v>8</v>
      </c>
      <c r="G60" s="11">
        <f>ROUND(Components!H60*IF(H60&lt;0,((1+InflationRate)^F60),((1+InflationRate)^H60)),0)</f>
        <v>12167</v>
      </c>
      <c r="H60" s="82">
        <f>IF(E60&gt;=0,Components!K60-E60,E60)</f>
        <v>12</v>
      </c>
      <c r="I60" s="82"/>
      <c r="J60" s="211"/>
      <c r="K60" s="29">
        <f>IF($H60&gt;0,FV(EarningsRate,F60,-'FF Deposit'!L60,1),Components!$H60)</f>
        <v>4269.2070660148929</v>
      </c>
      <c r="L60" s="29">
        <f>'FF Deposit'!L60+IF(Components!M60&gt;0,K60-Components!M60,K60*(1+EarningsRate))</f>
        <v>4854.6472256552506</v>
      </c>
      <c r="M60" s="29">
        <f>'FF Deposit'!M60+IF(Components!N60&gt;0,L60-Components!N60,L60*(1+EarningsRate))</f>
        <v>5452.381628648056</v>
      </c>
      <c r="N60" s="29">
        <f>'FF Deposit'!N60+IF(Components!O60&gt;0,M60-Components!O60,M60*(1+EarningsRate))</f>
        <v>6062.6684541037102</v>
      </c>
      <c r="O60" s="29">
        <f>'FF Deposit'!O60+IF(Components!P60&gt;0,N60-Components!P60,N60*(1+EarningsRate))</f>
        <v>6685.7713028939334</v>
      </c>
      <c r="P60" s="29">
        <f>'FF Deposit'!P60+IF(Components!Q60&gt;0,O60-Components!Q60,O60*(1+EarningsRate))</f>
        <v>7321.9593115087509</v>
      </c>
      <c r="Q60" s="29">
        <f>'FF Deposit'!Q60+IF(Components!R60&gt;0,P60-Components!R60,P60*(1+EarningsRate))</f>
        <v>7971.5072683044791</v>
      </c>
      <c r="R60" s="29">
        <f>'FF Deposit'!R60+IF(Components!S60&gt;0,Q60-Components!S60,Q60*(1+EarningsRate))</f>
        <v>8634.6957321929167</v>
      </c>
      <c r="S60" s="29">
        <f>'FF Deposit'!S60+IF(Components!T60&gt;0,R60-Components!T60,R60*(1+EarningsRate))</f>
        <v>9311.8111538230132</v>
      </c>
      <c r="T60" s="29">
        <f>'FF Deposit'!T60+IF(Components!U60&gt;0,S60-Components!U60,S60*(1+EarningsRate))</f>
        <v>10003.14599930734</v>
      </c>
      <c r="U60" s="29">
        <f>'FF Deposit'!U60+IF(Components!V60&gt;0,T60-Components!V60,T60*(1+EarningsRate))</f>
        <v>10708.998876546839</v>
      </c>
      <c r="V60" s="29">
        <f>'FF Deposit'!V60+IF(Components!W60&gt;0,U60-Components!W60,U60*(1+EarningsRate))</f>
        <v>11429.674664208367</v>
      </c>
      <c r="W60" s="29">
        <f>'FF Deposit'!W60+IF(Components!X60&gt;0,V60-Components!X60,V60*(1+EarningsRate))</f>
        <v>12165.484643410788</v>
      </c>
      <c r="X60" s="29">
        <f>'FF Deposit'!X60+IF(Components!Y60&gt;0,W60-Components!Y60,W60*(1+EarningsRate))</f>
        <v>984.9957190973289</v>
      </c>
      <c r="Y60" s="29">
        <f>'FF Deposit'!Y60+IF(Components!Z60&gt;0,X60-Components!Z60,X60*(1+EarningsRate))</f>
        <v>1992.1917048849141</v>
      </c>
      <c r="Z60" s="29">
        <f>'FF Deposit'!Z60+IF(Components!AA60&gt;0,Y60-Components!AA60,Y60*(1+EarningsRate))</f>
        <v>3020.5388063740384</v>
      </c>
      <c r="AA60" s="29">
        <f>'FF Deposit'!AA60+IF(Components!AB60&gt;0,Z60-Components!AB60,Z60*(1+EarningsRate))</f>
        <v>4070.481196994434</v>
      </c>
      <c r="AB60" s="29">
        <f>'FF Deposit'!AB60+IF(Components!AC60&gt;0,AA60-Components!AC60,AA60*(1+EarningsRate))</f>
        <v>5142.4723778178586</v>
      </c>
      <c r="AC60" s="29">
        <f>'FF Deposit'!AC60+IF(Components!AD60&gt;0,AB60-Components!AD60,AB60*(1+EarningsRate))</f>
        <v>6236.9753734385749</v>
      </c>
      <c r="AD60" s="29">
        <f>'FF Deposit'!AD60+IF(Components!AE60&gt;0,AC60-Components!AE60,AC60*(1+EarningsRate))</f>
        <v>7354.4629319673259</v>
      </c>
      <c r="AE60" s="29">
        <f>'FF Deposit'!AE60+IF(Components!AF60&gt;0,AD60-Components!AF60,AD60*(1+EarningsRate))</f>
        <v>8495.4177292251807</v>
      </c>
      <c r="AF60" s="29">
        <f>'FF Deposit'!AF60+IF(Components!AG60&gt;0,AE60-Components!AG60,AE60*(1+EarningsRate))</f>
        <v>9660.3325772254502</v>
      </c>
      <c r="AG60" s="29">
        <f>'FF Deposit'!AG60+IF(Components!AH60&gt;0,AF60-Components!AH60,AF60*(1+EarningsRate))</f>
        <v>10849.710637033726</v>
      </c>
      <c r="AH60" s="29">
        <f>'FF Deposit'!AH60+IF(Components!AI60&gt;0,AG60-Components!AI60,AG60*(1+EarningsRate))</f>
        <v>12064.065636097976</v>
      </c>
      <c r="AI60" s="29">
        <f>'FF Deposit'!AI60+IF(Components!AJ60&gt;0,AH60-Components!AJ60,AH60*(1+EarningsRate))</f>
        <v>13303.922090142574</v>
      </c>
      <c r="AJ60" s="29">
        <f>'FF Deposit'!AJ60+IF(Components!AK60&gt;0,AI60-Components!AK60,AI60*(1+EarningsRate))</f>
        <v>14569.815529722109</v>
      </c>
      <c r="AK60" s="29">
        <f>'FF Deposit'!AK60+IF(Components!AL60&gt;0,AJ60-Components!AL60,AJ60*(1+EarningsRate))</f>
        <v>15862.292731532814</v>
      </c>
      <c r="AL60" s="29">
        <f>'FF Deposit'!AL60+IF(Components!AM60&gt;0,AK60-Components!AM60,AK60*(1+EarningsRate))</f>
        <v>17181.911954581541</v>
      </c>
      <c r="AM60" s="29">
        <f>'FF Deposit'!AM60+IF(Components!AN60&gt;0,AL60-Components!AN60,AL60*(1+EarningsRate))</f>
        <v>18529.24318131429</v>
      </c>
      <c r="AN60" s="29">
        <f>'FF Deposit'!AN60+IF(Components!AO60&gt;0,AM60-Components!AO60,AM60*(1+EarningsRate))</f>
        <v>19904.868363808429</v>
      </c>
      <c r="AO60" s="29">
        <f>'FF Deposit'!AO60+IF(Components!AP60&gt;0,AN60-Components!AP60,AN60*(1+EarningsRate))</f>
        <v>21309.381675134944</v>
      </c>
      <c r="AP60" s="53"/>
    </row>
    <row r="61" spans="1:42" s="1" customFormat="1">
      <c r="A61" s="220" t="str">
        <f>Components!B61</f>
        <v>Clubhouse Equip</v>
      </c>
      <c r="B61" s="220" t="str">
        <f>Components!C61</f>
        <v>Sauna, Women's, replace</v>
      </c>
      <c r="C61" s="211"/>
      <c r="D61" s="211"/>
      <c r="E61" s="82">
        <f>AnalysisYear-Components!I61-Components!J61</f>
        <v>8</v>
      </c>
      <c r="F61" s="82">
        <f>IF(H61&lt;0,Components!K61-MOD(AnalysisYear-Components!I61-Components!J61,Components!K61),AnalysisYear-Components!I61-Components!J61)</f>
        <v>8</v>
      </c>
      <c r="G61" s="11">
        <f>ROUND(Components!H61*IF(H61&lt;0,((1+InflationRate)^F61),((1+InflationRate)^H61)),0)</f>
        <v>12167</v>
      </c>
      <c r="H61" s="82">
        <f>IF(E61&gt;=0,Components!K61-E61,E61)</f>
        <v>12</v>
      </c>
      <c r="I61" s="82"/>
      <c r="J61" s="211"/>
      <c r="K61" s="29">
        <f>IF($H61&gt;0,FV(EarningsRate,F61,-'FF Deposit'!L61,1),Components!$H61)</f>
        <v>4269.2070660148929</v>
      </c>
      <c r="L61" s="29">
        <f>'FF Deposit'!L61+IF(Components!M61&gt;0,K61-Components!M61,K61*(1+EarningsRate))</f>
        <v>4854.6472256552506</v>
      </c>
      <c r="M61" s="29">
        <f>'FF Deposit'!M61+IF(Components!N61&gt;0,L61-Components!N61,L61*(1+EarningsRate))</f>
        <v>5452.381628648056</v>
      </c>
      <c r="N61" s="29">
        <f>'FF Deposit'!N61+IF(Components!O61&gt;0,M61-Components!O61,M61*(1+EarningsRate))</f>
        <v>6062.6684541037102</v>
      </c>
      <c r="O61" s="29">
        <f>'FF Deposit'!O61+IF(Components!P61&gt;0,N61-Components!P61,N61*(1+EarningsRate))</f>
        <v>6685.7713028939334</v>
      </c>
      <c r="P61" s="29">
        <f>'FF Deposit'!P61+IF(Components!Q61&gt;0,O61-Components!Q61,O61*(1+EarningsRate))</f>
        <v>7321.9593115087509</v>
      </c>
      <c r="Q61" s="29">
        <f>'FF Deposit'!Q61+IF(Components!R61&gt;0,P61-Components!R61,P61*(1+EarningsRate))</f>
        <v>7971.5072683044791</v>
      </c>
      <c r="R61" s="29">
        <f>'FF Deposit'!R61+IF(Components!S61&gt;0,Q61-Components!S61,Q61*(1+EarningsRate))</f>
        <v>8634.6957321929167</v>
      </c>
      <c r="S61" s="29">
        <f>'FF Deposit'!S61+IF(Components!T61&gt;0,R61-Components!T61,R61*(1+EarningsRate))</f>
        <v>9311.8111538230132</v>
      </c>
      <c r="T61" s="29">
        <f>'FF Deposit'!T61+IF(Components!U61&gt;0,S61-Components!U61,S61*(1+EarningsRate))</f>
        <v>10003.14599930734</v>
      </c>
      <c r="U61" s="29">
        <f>'FF Deposit'!U61+IF(Components!V61&gt;0,T61-Components!V61,T61*(1+EarningsRate))</f>
        <v>10708.998876546839</v>
      </c>
      <c r="V61" s="29">
        <f>'FF Deposit'!V61+IF(Components!W61&gt;0,U61-Components!W61,U61*(1+EarningsRate))</f>
        <v>11429.674664208367</v>
      </c>
      <c r="W61" s="29">
        <f>'FF Deposit'!W61+IF(Components!X61&gt;0,V61-Components!X61,V61*(1+EarningsRate))</f>
        <v>12165.484643410788</v>
      </c>
      <c r="X61" s="29">
        <f>'FF Deposit'!X61+IF(Components!Y61&gt;0,W61-Components!Y61,W61*(1+EarningsRate))</f>
        <v>984.9957190973289</v>
      </c>
      <c r="Y61" s="29">
        <f>'FF Deposit'!Y61+IF(Components!Z61&gt;0,X61-Components!Z61,X61*(1+EarningsRate))</f>
        <v>1992.1917048849141</v>
      </c>
      <c r="Z61" s="29">
        <f>'FF Deposit'!Z61+IF(Components!AA61&gt;0,Y61-Components!AA61,Y61*(1+EarningsRate))</f>
        <v>3020.5388063740384</v>
      </c>
      <c r="AA61" s="29">
        <f>'FF Deposit'!AA61+IF(Components!AB61&gt;0,Z61-Components!AB61,Z61*(1+EarningsRate))</f>
        <v>4070.481196994434</v>
      </c>
      <c r="AB61" s="29">
        <f>'FF Deposit'!AB61+IF(Components!AC61&gt;0,AA61-Components!AC61,AA61*(1+EarningsRate))</f>
        <v>5142.4723778178586</v>
      </c>
      <c r="AC61" s="29">
        <f>'FF Deposit'!AC61+IF(Components!AD61&gt;0,AB61-Components!AD61,AB61*(1+EarningsRate))</f>
        <v>6236.9753734385749</v>
      </c>
      <c r="AD61" s="29">
        <f>'FF Deposit'!AD61+IF(Components!AE61&gt;0,AC61-Components!AE61,AC61*(1+EarningsRate))</f>
        <v>7354.4629319673259</v>
      </c>
      <c r="AE61" s="29">
        <f>'FF Deposit'!AE61+IF(Components!AF61&gt;0,AD61-Components!AF61,AD61*(1+EarningsRate))</f>
        <v>8495.4177292251807</v>
      </c>
      <c r="AF61" s="29">
        <f>'FF Deposit'!AF61+IF(Components!AG61&gt;0,AE61-Components!AG61,AE61*(1+EarningsRate))</f>
        <v>9660.3325772254502</v>
      </c>
      <c r="AG61" s="29">
        <f>'FF Deposit'!AG61+IF(Components!AH61&gt;0,AF61-Components!AH61,AF61*(1+EarningsRate))</f>
        <v>10849.710637033726</v>
      </c>
      <c r="AH61" s="29">
        <f>'FF Deposit'!AH61+IF(Components!AI61&gt;0,AG61-Components!AI61,AG61*(1+EarningsRate))</f>
        <v>12064.065636097976</v>
      </c>
      <c r="AI61" s="29">
        <f>'FF Deposit'!AI61+IF(Components!AJ61&gt;0,AH61-Components!AJ61,AH61*(1+EarningsRate))</f>
        <v>13303.922090142574</v>
      </c>
      <c r="AJ61" s="29">
        <f>'FF Deposit'!AJ61+IF(Components!AK61&gt;0,AI61-Components!AK61,AI61*(1+EarningsRate))</f>
        <v>14569.815529722109</v>
      </c>
      <c r="AK61" s="29">
        <f>'FF Deposit'!AK61+IF(Components!AL61&gt;0,AJ61-Components!AL61,AJ61*(1+EarningsRate))</f>
        <v>15862.292731532814</v>
      </c>
      <c r="AL61" s="29">
        <f>'FF Deposit'!AL61+IF(Components!AM61&gt;0,AK61-Components!AM61,AK61*(1+EarningsRate))</f>
        <v>17181.911954581541</v>
      </c>
      <c r="AM61" s="29">
        <f>'FF Deposit'!AM61+IF(Components!AN61&gt;0,AL61-Components!AN61,AL61*(1+EarningsRate))</f>
        <v>18529.24318131429</v>
      </c>
      <c r="AN61" s="29">
        <f>'FF Deposit'!AN61+IF(Components!AO61&gt;0,AM61-Components!AO61,AM61*(1+EarningsRate))</f>
        <v>19904.868363808429</v>
      </c>
      <c r="AO61" s="29">
        <f>'FF Deposit'!AO61+IF(Components!AP61&gt;0,AN61-Components!AP61,AN61*(1+EarningsRate))</f>
        <v>21309.381675134944</v>
      </c>
      <c r="AP61" s="53"/>
    </row>
    <row r="62" spans="1:42" s="1" customFormat="1">
      <c r="A62" s="220" t="str">
        <f>Components!B62</f>
        <v>Clubhouse Equip</v>
      </c>
      <c r="B62" s="220" t="str">
        <f>Components!C62</f>
        <v>Security Cameras</v>
      </c>
      <c r="C62" s="211"/>
      <c r="D62" s="211"/>
      <c r="E62" s="82">
        <f>AnalysisYear-Components!I62-Components!J62</f>
        <v>8</v>
      </c>
      <c r="F62" s="82">
        <f>IF(H62&lt;0,Components!K62-MOD(AnalysisYear-Components!I62-Components!J62,Components!K62),AnalysisYear-Components!I62-Components!J62)</f>
        <v>8</v>
      </c>
      <c r="G62" s="11">
        <f>ROUND(Components!H62*IF(H62&lt;0,((1+InflationRate)^F62),((1+InflationRate)^H62)),0)</f>
        <v>6478</v>
      </c>
      <c r="H62" s="82">
        <f>IF(E62&gt;=0,Components!K62-E62,E62)</f>
        <v>2</v>
      </c>
      <c r="I62" s="82"/>
      <c r="J62" s="211"/>
      <c r="K62" s="29">
        <f>IF($H62&gt;0,FV(EarningsRate,F62,-'FF Deposit'!L62,1),Components!$H62)</f>
        <v>5071.341685780747</v>
      </c>
      <c r="L62" s="29">
        <f>'FF Deposit'!L62+IF(Components!M62&gt;0,K62-Components!M62,K62*(1+EarningsRate))</f>
        <v>5766.7535195317532</v>
      </c>
      <c r="M62" s="29">
        <f>'FF Deposit'!M62+IF(Components!N62&gt;0,L62-Components!N62,L62*(1+EarningsRate))</f>
        <v>6476.7690017915302</v>
      </c>
      <c r="N62" s="29">
        <f>'FF Deposit'!N62+IF(Components!O62&gt;0,M62-Components!O62,M62*(1+EarningsRate))</f>
        <v>829.48987837234188</v>
      </c>
      <c r="O62" s="29">
        <f>'FF Deposit'!O62+IF(Components!P62&gt;0,N62-Components!P62,N62*(1+EarningsRate))</f>
        <v>1677.6300423989728</v>
      </c>
      <c r="P62" s="29">
        <f>'FF Deposit'!P62+IF(Components!Q62&gt;0,O62-Components!Q62,O62*(1+EarningsRate))</f>
        <v>2543.5811498701628</v>
      </c>
      <c r="Q62" s="29">
        <f>'FF Deposit'!Q62+IF(Components!R62&gt;0,P62-Components!R62,P62*(1+EarningsRate))</f>
        <v>3427.7172305982476</v>
      </c>
      <c r="R62" s="29">
        <f>'FF Deposit'!R62+IF(Components!S62&gt;0,Q62-Components!S62,Q62*(1+EarningsRate))</f>
        <v>4330.4201690216223</v>
      </c>
      <c r="S62" s="29">
        <f>'FF Deposit'!S62+IF(Components!T62&gt;0,R62-Components!T62,R62*(1+EarningsRate))</f>
        <v>5252.0798691518876</v>
      </c>
      <c r="T62" s="29">
        <f>'FF Deposit'!T62+IF(Components!U62&gt;0,S62-Components!U62,S62*(1+EarningsRate))</f>
        <v>6193.0944229848883</v>
      </c>
      <c r="U62" s="29">
        <f>'FF Deposit'!U62+IF(Components!V62&gt;0,T62-Components!V62,T62*(1+EarningsRate))</f>
        <v>7153.8702824483826</v>
      </c>
      <c r="V62" s="29">
        <f>'FF Deposit'!V62+IF(Components!W62&gt;0,U62-Components!W62,U62*(1+EarningsRate))</f>
        <v>8134.8224349606098</v>
      </c>
      <c r="W62" s="29">
        <f>'FF Deposit'!W62+IF(Components!X62&gt;0,V62-Components!X62,V62*(1+EarningsRate))</f>
        <v>9136.374582675593</v>
      </c>
      <c r="X62" s="29">
        <f>'FF Deposit'!X62+IF(Components!Y62&gt;0,W62-Components!Y62,W62*(1+EarningsRate))</f>
        <v>1171.0782951360559</v>
      </c>
      <c r="Y62" s="29">
        <f>'FF Deposit'!Y62+IF(Components!Z62&gt;0,X62-Components!Z62,X62*(1+EarningsRate))</f>
        <v>2367.3746517943755</v>
      </c>
      <c r="Z62" s="29">
        <f>'FF Deposit'!Z62+IF(Components!AA62&gt;0,Y62-Components!AA62,Y62*(1+EarningsRate))</f>
        <v>3588.7932319425199</v>
      </c>
      <c r="AA62" s="29">
        <f>'FF Deposit'!AA62+IF(Components!AB62&gt;0,Z62-Components!AB62,Z62*(1+EarningsRate))</f>
        <v>4835.8616022737751</v>
      </c>
      <c r="AB62" s="29">
        <f>'FF Deposit'!AB62+IF(Components!AC62&gt;0,AA62-Components!AC62,AA62*(1+EarningsRate))</f>
        <v>6109.1184083819871</v>
      </c>
      <c r="AC62" s="29">
        <f>'FF Deposit'!AC62+IF(Components!AD62&gt;0,AB62-Components!AD62,AB62*(1+EarningsRate))</f>
        <v>7409.1136074184715</v>
      </c>
      <c r="AD62" s="29">
        <f>'FF Deposit'!AD62+IF(Components!AE62&gt;0,AC62-Components!AE62,AC62*(1+EarningsRate))</f>
        <v>8736.4087056347216</v>
      </c>
      <c r="AE62" s="29">
        <f>'FF Deposit'!AE62+IF(Components!AF62&gt;0,AD62-Components!AF62,AD62*(1+EarningsRate))</f>
        <v>10091.577000913512</v>
      </c>
      <c r="AF62" s="29">
        <f>'FF Deposit'!AF62+IF(Components!AG62&gt;0,AE62-Components!AG62,AE62*(1+EarningsRate))</f>
        <v>11475.203830393159</v>
      </c>
      <c r="AG62" s="29">
        <f>'FF Deposit'!AG62+IF(Components!AH62&gt;0,AF62-Components!AH62,AF62*(1+EarningsRate))</f>
        <v>12887.886823291878</v>
      </c>
      <c r="AH62" s="29">
        <f>'FF Deposit'!AH62+IF(Components!AI62&gt;0,AG62-Components!AI62,AG62*(1+EarningsRate))</f>
        <v>1651.7366810026037</v>
      </c>
      <c r="AI62" s="29">
        <f>'FF Deposit'!AI62+IF(Components!AJ62&gt;0,AH62-Components!AJ62,AH62*(1+EarningsRate))</f>
        <v>3339.2730090143841</v>
      </c>
      <c r="AJ62" s="29">
        <f>'FF Deposit'!AJ62+IF(Components!AK62&gt;0,AI62-Components!AK62,AI62*(1+EarningsRate))</f>
        <v>5062.2475999144117</v>
      </c>
      <c r="AK62" s="29">
        <f>'FF Deposit'!AK62+IF(Components!AL62&gt;0,AJ62-Components!AL62,AJ62*(1+EarningsRate))</f>
        <v>6821.4046572233401</v>
      </c>
      <c r="AL62" s="29">
        <f>'FF Deposit'!AL62+IF(Components!AM62&gt;0,AK62-Components!AM62,AK62*(1+EarningsRate))</f>
        <v>8617.5040127357552</v>
      </c>
      <c r="AM62" s="29">
        <f>'FF Deposit'!AM62+IF(Components!AN62&gt;0,AL62-Components!AN62,AL62*(1+EarningsRate))</f>
        <v>10451.321454713931</v>
      </c>
      <c r="AN62" s="29">
        <f>'FF Deposit'!AN62+IF(Components!AO62&gt;0,AM62-Components!AO62,AM62*(1+EarningsRate))</f>
        <v>12323.649062973647</v>
      </c>
      <c r="AO62" s="29">
        <f>'FF Deposit'!AO62+IF(Components!AP62&gt;0,AN62-Components!AP62,AN62*(1+EarningsRate))</f>
        <v>14235.295551006819</v>
      </c>
      <c r="AP62" s="53"/>
    </row>
    <row r="63" spans="1:42" s="1" customFormat="1">
      <c r="A63" s="220" t="str">
        <f>Components!B63</f>
        <v>Clubhouse Equip</v>
      </c>
      <c r="B63" s="220" t="str">
        <f>Components!C63</f>
        <v>Storage Tank Domestic for Club House</v>
      </c>
      <c r="C63" s="211"/>
      <c r="D63" s="211"/>
      <c r="E63" s="82">
        <f>AnalysisYear-Components!I63-Components!J63</f>
        <v>8</v>
      </c>
      <c r="F63" s="82">
        <f>IF(H63&lt;0,Components!K63-MOD(AnalysisYear-Components!I63-Components!J63,Components!K63),AnalysisYear-Components!I63-Components!J63)</f>
        <v>8</v>
      </c>
      <c r="G63" s="11">
        <f>ROUND(Components!H63*IF(H63&lt;0,((1+InflationRate)^F63),((1+InflationRate)^H63)),0)</f>
        <v>21159</v>
      </c>
      <c r="H63" s="82">
        <f>IF(E63&gt;=0,Components!K63-E63,E63)</f>
        <v>2</v>
      </c>
      <c r="I63" s="82"/>
      <c r="J63" s="211"/>
      <c r="K63" s="29">
        <f>IF($H63&gt;0,FV(EarningsRate,F63,-'FF Deposit'!L63,1),Components!$H63)</f>
        <v>16567.12800794686</v>
      </c>
      <c r="L63" s="29">
        <f>'FF Deposit'!L63+IF(Components!M63&gt;0,K63-Components!M63,K63*(1+EarningsRate))</f>
        <v>18838.598069225722</v>
      </c>
      <c r="M63" s="29">
        <f>'FF Deposit'!M63+IF(Components!N63&gt;0,L63-Components!N63,L63*(1+EarningsRate))</f>
        <v>21157.769001791443</v>
      </c>
      <c r="N63" s="29">
        <f>'FF Deposit'!N63+IF(Components!O63&gt;0,M63-Components!O63,M63*(1+EarningsRate))</f>
        <v>2712.1408800831068</v>
      </c>
      <c r="O63" s="29">
        <f>'FF Deposit'!O63+IF(Components!P63&gt;0,N63-Components!P63,N63*(1+EarningsRate))</f>
        <v>5482.4677168565158</v>
      </c>
      <c r="P63" s="29">
        <f>'FF Deposit'!P63+IF(Components!Q63&gt;0,O63-Components!Q63,O63*(1+EarningsRate))</f>
        <v>8310.9714172021668</v>
      </c>
      <c r="Q63" s="29">
        <f>'FF Deposit'!Q63+IF(Components!R63&gt;0,P63-Components!R63,P63*(1+EarningsRate))</f>
        <v>11198.873695255075</v>
      </c>
      <c r="R63" s="29">
        <f>'FF Deposit'!R63+IF(Components!S63&gt;0,Q63-Components!S63,Q63*(1+EarningsRate))</f>
        <v>14147.421921147095</v>
      </c>
      <c r="S63" s="29">
        <f>'FF Deposit'!S63+IF(Components!T63&gt;0,R63-Components!T63,R63*(1+EarningsRate))</f>
        <v>17157.88965978285</v>
      </c>
      <c r="T63" s="29">
        <f>'FF Deposit'!T63+IF(Components!U63&gt;0,S63-Components!U63,S63*(1+EarningsRate))</f>
        <v>20231.577220929954</v>
      </c>
      <c r="U63" s="29">
        <f>'FF Deposit'!U63+IF(Components!V63&gt;0,T63-Components!V63,T63*(1+EarningsRate))</f>
        <v>23369.812220861146</v>
      </c>
      <c r="V63" s="29">
        <f>'FF Deposit'!V63+IF(Components!W63&gt;0,U63-Components!W63,U63*(1+EarningsRate))</f>
        <v>26573.950155790895</v>
      </c>
      <c r="W63" s="29">
        <f>'FF Deposit'!W63+IF(Components!X63&gt;0,V63-Components!X63,V63*(1+EarningsRate))</f>
        <v>29845.374987354167</v>
      </c>
      <c r="X63" s="29">
        <f>'FF Deposit'!X63+IF(Components!Y63&gt;0,W63-Components!Y63,W63*(1+EarningsRate))</f>
        <v>3825.8720548607266</v>
      </c>
      <c r="Y63" s="29">
        <f>'FF Deposit'!Y63+IF(Components!Z63&gt;0,X63-Components!Z63,X63*(1+EarningsRate))</f>
        <v>7733.712435519361</v>
      </c>
      <c r="Z63" s="29">
        <f>'FF Deposit'!Z63+IF(Components!AA63&gt;0,Y63-Components!AA63,Y63*(1+EarningsRate))</f>
        <v>11723.617464171826</v>
      </c>
      <c r="AA63" s="29">
        <f>'FF Deposit'!AA63+IF(Components!AB63&gt;0,Z63-Components!AB63,Z63*(1+EarningsRate))</f>
        <v>15797.310498425994</v>
      </c>
      <c r="AB63" s="29">
        <f>'FF Deposit'!AB63+IF(Components!AC63&gt;0,AA63-Components!AC63,AA63*(1+EarningsRate))</f>
        <v>19956.551086399497</v>
      </c>
      <c r="AC63" s="29">
        <f>'FF Deposit'!AC63+IF(Components!AD63&gt;0,AB63-Components!AD63,AB63*(1+EarningsRate))</f>
        <v>24203.135726720444</v>
      </c>
      <c r="AD63" s="29">
        <f>'FF Deposit'!AD63+IF(Components!AE63&gt;0,AC63-Components!AE63,AC63*(1+EarningsRate))</f>
        <v>28538.89864448813</v>
      </c>
      <c r="AE63" s="29">
        <f>'FF Deposit'!AE63+IF(Components!AF63&gt;0,AD63-Components!AF63,AD63*(1+EarningsRate))</f>
        <v>32965.712583528933</v>
      </c>
      <c r="AF63" s="29">
        <f>'FF Deposit'!AF63+IF(Components!AG63&gt;0,AE63-Components!AG63,AE63*(1+EarningsRate))</f>
        <v>37485.489615289596</v>
      </c>
      <c r="AG63" s="29">
        <f>'FF Deposit'!AG63+IF(Components!AH63&gt;0,AF63-Components!AH63,AF63*(1+EarningsRate))</f>
        <v>42100.181964717231</v>
      </c>
      <c r="AH63" s="29">
        <f>'FF Deposit'!AH63+IF(Components!AI63&gt;0,AG63-Components!AI63,AG63*(1+EarningsRate))</f>
        <v>5397.2264762648283</v>
      </c>
      <c r="AI63" s="29">
        <f>'FF Deposit'!AI63+IF(Components!AJ63&gt;0,AH63-Components!AJ63,AH63*(1+EarningsRate))</f>
        <v>10909.612743813987</v>
      </c>
      <c r="AJ63" s="29">
        <f>'FF Deposit'!AJ63+IF(Components!AK63&gt;0,AI63-Components!AK63,AI63*(1+EarningsRate))</f>
        <v>16537.759122981675</v>
      </c>
      <c r="AK63" s="29">
        <f>'FF Deposit'!AK63+IF(Components!AL63&gt;0,AJ63-Components!AL63,AJ63*(1+EarningsRate))</f>
        <v>22284.096576111886</v>
      </c>
      <c r="AL63" s="29">
        <f>'FF Deposit'!AL63+IF(Components!AM63&gt;0,AK63-Components!AM63,AK63*(1+EarningsRate))</f>
        <v>28151.107115757834</v>
      </c>
      <c r="AM63" s="29">
        <f>'FF Deposit'!AM63+IF(Components!AN63&gt;0,AL63-Components!AN63,AL63*(1+EarningsRate))</f>
        <v>34141.32487673634</v>
      </c>
      <c r="AN63" s="29">
        <f>'FF Deposit'!AN63+IF(Components!AO63&gt;0,AM63-Components!AO63,AM63*(1+EarningsRate))</f>
        <v>40257.337210695398</v>
      </c>
      <c r="AO63" s="29">
        <f>'FF Deposit'!AO63+IF(Components!AP63&gt;0,AN63-Components!AP63,AN63*(1+EarningsRate))</f>
        <v>46501.78580366759</v>
      </c>
      <c r="AP63" s="53"/>
    </row>
    <row r="64" spans="1:42" s="1" customFormat="1">
      <c r="A64" s="220" t="str">
        <f>Components!B64</f>
        <v>Clubhouse Equip</v>
      </c>
      <c r="B64" s="220" t="str">
        <f>Components!C64</f>
        <v>Strength Training Equipment</v>
      </c>
      <c r="C64" s="211"/>
      <c r="D64" s="211"/>
      <c r="E64" s="82">
        <f>AnalysisYear-Components!I64-Components!J64</f>
        <v>8</v>
      </c>
      <c r="F64" s="82">
        <f>IF(H64&lt;0,Components!K64-MOD(AnalysisYear-Components!I64-Components!J64,Components!K64),AnalysisYear-Components!I64-Components!J64)</f>
        <v>8</v>
      </c>
      <c r="G64" s="11">
        <f>ROUND(Components!H64*IF(H64&lt;0,((1+InflationRate)^F64),((1+InflationRate)^H64)),0)</f>
        <v>44349</v>
      </c>
      <c r="H64" s="82">
        <f>IF(E64&gt;=0,Components!K64-E64,E64)</f>
        <v>2</v>
      </c>
      <c r="I64" s="82"/>
      <c r="J64" s="211"/>
      <c r="K64" s="29">
        <f>IF($H64&gt;0,FV(EarningsRate,F64,-'FF Deposit'!L64,1),Components!$H64)</f>
        <v>34725.787827511755</v>
      </c>
      <c r="L64" s="29">
        <f>'FF Deposit'!L64+IF(Components!M64&gt;0,K64-Components!M64,K64*(1+EarningsRate))</f>
        <v>39486.787913746077</v>
      </c>
      <c r="M64" s="29">
        <f>'FF Deposit'!M64+IF(Components!N64&gt;0,L64-Components!N64,L64*(1+EarningsRate))</f>
        <v>44347.769001791319</v>
      </c>
      <c r="N64" s="29">
        <f>'FF Deposit'!N64+IF(Components!O64&gt;0,M64-Components!O64,M64*(1+EarningsRate))</f>
        <v>5685.962604057825</v>
      </c>
      <c r="O64" s="29">
        <f>'FF Deposit'!O64+IF(Components!P64&gt;0,N64-Components!P64,N64*(1+EarningsRate))</f>
        <v>11492.561421009545</v>
      </c>
      <c r="P64" s="29">
        <f>'FF Deposit'!P64+IF(Components!Q64&gt;0,O64-Components!Q64,O64*(1+EarningsRate))</f>
        <v>17421.098813117249</v>
      </c>
      <c r="Q64" s="29">
        <f>'FF Deposit'!Q64+IF(Components!R64&gt;0,P64-Components!R64,P64*(1+EarningsRate))</f>
        <v>23474.135490459215</v>
      </c>
      <c r="R64" s="29">
        <f>'FF Deposit'!R64+IF(Components!S64&gt;0,Q64-Components!S64,Q64*(1+EarningsRate))</f>
        <v>29654.285938025365</v>
      </c>
      <c r="S64" s="29">
        <f>'FF Deposit'!S64+IF(Components!T64&gt;0,R64-Components!T64,R64*(1+EarningsRate))</f>
        <v>35964.219544990403</v>
      </c>
      <c r="T64" s="29">
        <f>'FF Deposit'!T64+IF(Components!U64&gt;0,S64-Components!U64,S64*(1+EarningsRate))</f>
        <v>42406.661757701702</v>
      </c>
      <c r="U64" s="29">
        <f>'FF Deposit'!U64+IF(Components!V64&gt;0,T64-Components!V64,T64*(1+EarningsRate))</f>
        <v>48984.395256879936</v>
      </c>
      <c r="V64" s="29">
        <f>'FF Deposit'!V64+IF(Components!W64&gt;0,U64-Components!W64,U64*(1+EarningsRate))</f>
        <v>55700.261159540911</v>
      </c>
      <c r="W64" s="29">
        <f>'FF Deposit'!W64+IF(Components!X64&gt;0,V64-Components!X64,V64*(1+EarningsRate))</f>
        <v>62557.160246157771</v>
      </c>
      <c r="X64" s="29">
        <f>'FF Deposit'!X64+IF(Components!Y64&gt;0,W64-Components!Y64,W64*(1+EarningsRate))</f>
        <v>8021.4258523853778</v>
      </c>
      <c r="Y64" s="29">
        <f>'FF Deposit'!Y64+IF(Components!Z64&gt;0,X64-Components!Z64,X64*(1+EarningsRate))</f>
        <v>16212.141401513076</v>
      </c>
      <c r="Z64" s="29">
        <f>'FF Deposit'!Z64+IF(Components!AA64&gt;0,Y64-Components!AA64,Y64*(1+EarningsRate))</f>
        <v>24574.861977172455</v>
      </c>
      <c r="AA64" s="29">
        <f>'FF Deposit'!AA64+IF(Components!AB64&gt;0,Z64-Components!AB64,Z64*(1+EarningsRate))</f>
        <v>33113.199684920677</v>
      </c>
      <c r="AB64" s="29">
        <f>'FF Deposit'!AB64+IF(Components!AC64&gt;0,AA64-Components!AC64,AA64*(1+EarningsRate))</f>
        <v>41830.842484531619</v>
      </c>
      <c r="AC64" s="29">
        <f>'FF Deposit'!AC64+IF(Components!AD64&gt;0,AB64-Components!AD64,AB64*(1+EarningsRate))</f>
        <v>50731.555782934389</v>
      </c>
      <c r="AD64" s="29">
        <f>'FF Deposit'!AD64+IF(Components!AE64&gt;0,AC64-Components!AE64,AC64*(1+EarningsRate))</f>
        <v>59819.184060603613</v>
      </c>
      <c r="AE64" s="29">
        <f>'FF Deposit'!AE64+IF(Components!AF64&gt;0,AD64-Components!AF64,AD64*(1+EarningsRate))</f>
        <v>69097.652532103893</v>
      </c>
      <c r="AF64" s="29">
        <f>'FF Deposit'!AF64+IF(Components!AG64&gt;0,AE64-Components!AG64,AE64*(1+EarningsRate))</f>
        <v>78570.968841505673</v>
      </c>
      <c r="AG64" s="29">
        <f>'FF Deposit'!AG64+IF(Components!AH64&gt;0,AF64-Components!AH64,AF64*(1+EarningsRate))</f>
        <v>88243.224793404894</v>
      </c>
      <c r="AH64" s="29">
        <f>'FF Deposit'!AH64+IF(Components!AI64&gt;0,AG64-Components!AI64,AG64*(1+EarningsRate))</f>
        <v>11314.520525710197</v>
      </c>
      <c r="AI64" s="29">
        <f>'FF Deposit'!AI64+IF(Components!AJ64&gt;0,AH64-Components!AJ64,AH64*(1+EarningsRate))</f>
        <v>22868.421189055414</v>
      </c>
      <c r="AJ64" s="29">
        <f>'FF Deposit'!AJ64+IF(Components!AK64&gt;0,AI64-Components!AK64,AI64*(1+EarningsRate))</f>
        <v>34664.95376633088</v>
      </c>
      <c r="AK64" s="29">
        <f>'FF Deposit'!AK64+IF(Components!AL64&gt;0,AJ64-Components!AL64,AJ64*(1+EarningsRate))</f>
        <v>46709.213527729131</v>
      </c>
      <c r="AL64" s="29">
        <f>'FF Deposit'!AL64+IF(Components!AM64&gt;0,AK64-Components!AM64,AK64*(1+EarningsRate))</f>
        <v>59006.402744116742</v>
      </c>
      <c r="AM64" s="29">
        <f>'FF Deposit'!AM64+IF(Components!AN64&gt;0,AL64-Components!AN64,AL64*(1+EarningsRate))</f>
        <v>71561.832934048492</v>
      </c>
      <c r="AN64" s="29">
        <f>'FF Deposit'!AN64+IF(Components!AO64&gt;0,AM64-Components!AO64,AM64*(1+EarningsRate))</f>
        <v>84380.927157968807</v>
      </c>
      <c r="AO64" s="29">
        <f>'FF Deposit'!AO64+IF(Components!AP64&gt;0,AN64-Components!AP64,AN64*(1+EarningsRate))</f>
        <v>97469.222360591448</v>
      </c>
      <c r="AP64" s="53"/>
    </row>
    <row r="65" spans="1:42" s="1" customFormat="1">
      <c r="A65" s="220" t="str">
        <f>Components!B65</f>
        <v>Clubhouse Equip</v>
      </c>
      <c r="B65" s="220" t="str">
        <f>Components!C65</f>
        <v>Women's/Men's Restroom Renovation</v>
      </c>
      <c r="C65" s="211"/>
      <c r="D65" s="211"/>
      <c r="E65" s="82">
        <f>AnalysisYear-Components!I65-Components!J65</f>
        <v>8</v>
      </c>
      <c r="F65" s="82">
        <f>IF(H65&lt;0,Components!K65-MOD(AnalysisYear-Components!I65-Components!J65,Components!K65),AnalysisYear-Components!I65-Components!J65)</f>
        <v>8</v>
      </c>
      <c r="G65" s="11">
        <f>ROUND(Components!H65*IF(H65&lt;0,((1+InflationRate)^F65),((1+InflationRate)^H65)),0)</f>
        <v>184353</v>
      </c>
      <c r="H65" s="82">
        <f>IF(E65&gt;=0,Components!K65-E65,E65)</f>
        <v>7</v>
      </c>
      <c r="I65" s="82"/>
      <c r="J65" s="211"/>
      <c r="K65" s="29">
        <f>IF($H65&gt;0,FV(EarningsRate,F65,-'FF Deposit'!L65,1),Components!$H65)</f>
        <v>91158.293428754434</v>
      </c>
      <c r="L65" s="29">
        <f>'FF Deposit'!L65+IF(Components!M65&gt;0,K65-Components!M65,K65*(1+EarningsRate))</f>
        <v>103656.12092812144</v>
      </c>
      <c r="M65" s="29">
        <f>'FF Deposit'!M65+IF(Components!N65&gt;0,L65-Components!N65,L65*(1+EarningsRate))</f>
        <v>116416.40280497514</v>
      </c>
      <c r="N65" s="29">
        <f>'FF Deposit'!N65+IF(Components!O65&gt;0,M65-Components!O65,M65*(1+EarningsRate))</f>
        <v>129444.65060124276</v>
      </c>
      <c r="O65" s="29">
        <f>'FF Deposit'!O65+IF(Components!P65&gt;0,N65-Components!P65,N65*(1+EarningsRate))</f>
        <v>142746.491601232</v>
      </c>
      <c r="P65" s="29">
        <f>'FF Deposit'!P65+IF(Components!Q65&gt;0,O65-Components!Q65,O65*(1+EarningsRate))</f>
        <v>156327.67126222103</v>
      </c>
      <c r="Q65" s="29">
        <f>'FF Deposit'!Q65+IF(Components!R65&gt;0,P65-Components!R65,P65*(1+EarningsRate))</f>
        <v>170194.05569609083</v>
      </c>
      <c r="R65" s="29">
        <f>'FF Deposit'!R65+IF(Components!S65&gt;0,Q65-Components!S65,Q65*(1+EarningsRate))</f>
        <v>184351.63420307188</v>
      </c>
      <c r="S65" s="29">
        <f>'FF Deposit'!S65+IF(Components!T65&gt;0,R65-Components!T65,R65*(1+EarningsRate))</f>
        <v>17729.694144584835</v>
      </c>
      <c r="T65" s="29">
        <f>'FF Deposit'!T65+IF(Components!U65&gt;0,S65-Components!U65,S65*(1+EarningsRate))</f>
        <v>35833.07766313407</v>
      </c>
      <c r="U65" s="29">
        <f>'FF Deposit'!U65+IF(Components!V65&gt;0,T65-Components!V65,T65*(1+EarningsRate))</f>
        <v>54316.632235572841</v>
      </c>
      <c r="V65" s="29">
        <f>'FF Deposit'!V65+IF(Components!W65&gt;0,U65-Components!W65,U65*(1+EarningsRate))</f>
        <v>73188.341454032823</v>
      </c>
      <c r="W65" s="29">
        <f>'FF Deposit'!W65+IF(Components!X65&gt;0,V65-Components!X65,V65*(1+EarningsRate))</f>
        <v>92456.35656608046</v>
      </c>
      <c r="X65" s="29">
        <f>'FF Deposit'!X65+IF(Components!Y65&gt;0,W65-Components!Y65,W65*(1+EarningsRate))</f>
        <v>112128.99999548109</v>
      </c>
      <c r="Y65" s="29">
        <f>'FF Deposit'!Y65+IF(Components!Z65&gt;0,X65-Components!Z65,X65*(1+EarningsRate))</f>
        <v>132214.76893689914</v>
      </c>
      <c r="Z65" s="29">
        <f>'FF Deposit'!Z65+IF(Components!AA65&gt;0,Y65-Components!AA65,Y65*(1+EarningsRate))</f>
        <v>152722.33902608696</v>
      </c>
      <c r="AA65" s="29">
        <f>'FF Deposit'!AA65+IF(Components!AB65&gt;0,Z65-Components!AB65,Z65*(1+EarningsRate))</f>
        <v>173660.56808714772</v>
      </c>
      <c r="AB65" s="29">
        <f>'FF Deposit'!AB65+IF(Components!AC65&gt;0,AA65-Components!AC65,AA65*(1+EarningsRate))</f>
        <v>195038.49995849078</v>
      </c>
      <c r="AC65" s="29">
        <f>'FF Deposit'!AC65+IF(Components!AD65&gt;0,AB65-Components!AD65,AB65*(1+EarningsRate))</f>
        <v>216865.36839913204</v>
      </c>
      <c r="AD65" s="29">
        <f>'FF Deposit'!AD65+IF(Components!AE65&gt;0,AC65-Components!AE65,AC65*(1+EarningsRate))</f>
        <v>239150.60107702675</v>
      </c>
      <c r="AE65" s="29">
        <f>'FF Deposit'!AE65+IF(Components!AF65&gt;0,AD65-Components!AF65,AD65*(1+EarningsRate))</f>
        <v>261903.82364115724</v>
      </c>
      <c r="AF65" s="29">
        <f>'FF Deposit'!AF65+IF(Components!AG65&gt;0,AE65-Components!AG65,AE65*(1+EarningsRate))</f>
        <v>285134.86387913447</v>
      </c>
      <c r="AG65" s="29">
        <f>'FF Deposit'!AG65+IF(Components!AH65&gt;0,AF65-Components!AH65,AF65*(1+EarningsRate))</f>
        <v>308853.75596210919</v>
      </c>
      <c r="AH65" s="29">
        <f>'FF Deposit'!AH65+IF(Components!AI65&gt;0,AG65-Components!AI65,AG65*(1+EarningsRate))</f>
        <v>29703.506610571254</v>
      </c>
      <c r="AI65" s="29">
        <f>'FF Deposit'!AI65+IF(Components!AJ65&gt;0,AH65-Components!AJ65,AH65*(1+EarningsRate))</f>
        <v>60033.030897855308</v>
      </c>
      <c r="AJ65" s="29">
        <f>'FF Deposit'!AJ65+IF(Components!AK65&gt;0,AI65-Components!AK65,AI65*(1+EarningsRate))</f>
        <v>90999.47519517233</v>
      </c>
      <c r="AK65" s="29">
        <f>'FF Deposit'!AK65+IF(Components!AL65&gt;0,AJ65-Components!AL65,AJ65*(1+EarningsRate))</f>
        <v>122616.21482273299</v>
      </c>
      <c r="AL65" s="29">
        <f>'FF Deposit'!AL65+IF(Components!AM65&gt;0,AK65-Components!AM65,AK65*(1+EarningsRate))</f>
        <v>154896.90598247244</v>
      </c>
      <c r="AM65" s="29">
        <f>'FF Deposit'!AM65+IF(Components!AN65&gt;0,AL65-Components!AN65,AL65*(1+EarningsRate))</f>
        <v>187855.49165656642</v>
      </c>
      <c r="AN65" s="29">
        <f>'FF Deposit'!AN65+IF(Components!AO65&gt;0,AM65-Components!AO65,AM65*(1+EarningsRate))</f>
        <v>221506.20762981637</v>
      </c>
      <c r="AO65" s="29">
        <f>'FF Deposit'!AO65+IF(Components!AP65&gt;0,AN65-Components!AP65,AN65*(1+EarningsRate))</f>
        <v>255863.58863850456</v>
      </c>
      <c r="AP65" s="53"/>
    </row>
    <row r="66" spans="1:42" s="1" customFormat="1">
      <c r="A66" s="220" t="str">
        <f>Components!B66</f>
        <v>Pools</v>
      </c>
      <c r="B66" s="220" t="str">
        <f>Components!C66</f>
        <v>Indoor Pool Heater/Boiler</v>
      </c>
      <c r="C66" s="211"/>
      <c r="D66" s="211"/>
      <c r="E66" s="82">
        <f>AnalysisYear-Components!I66-Components!J66</f>
        <v>8</v>
      </c>
      <c r="F66" s="82">
        <f>IF(H66&lt;0,Components!K66-MOD(AnalysisYear-Components!I66-Components!J66,Components!K66),AnalysisYear-Components!I66-Components!J66)</f>
        <v>8</v>
      </c>
      <c r="G66" s="11">
        <f>ROUND(Components!H66*IF(H66&lt;0,((1+InflationRate)^F66),((1+InflationRate)^H66)),0)</f>
        <v>27028</v>
      </c>
      <c r="H66" s="82">
        <f>IF(E66&gt;=0,Components!K66-E66,E66)</f>
        <v>7</v>
      </c>
      <c r="I66" s="82"/>
      <c r="J66" s="211"/>
      <c r="K66" s="29">
        <f>IF($H66&gt;0,FV(EarningsRate,F66,-'FF Deposit'!L66,1),Components!$H66)</f>
        <v>13363.712946216663</v>
      </c>
      <c r="L66" s="29">
        <f>'FF Deposit'!L66+IF(Components!M66&gt;0,K66-Components!M66,K66*(1+EarningsRate))</f>
        <v>15195.998725295403</v>
      </c>
      <c r="M66" s="29">
        <f>'FF Deposit'!M66+IF(Components!N66&gt;0,L66-Components!N66,L66*(1+EarningsRate))</f>
        <v>17066.762505734798</v>
      </c>
      <c r="N66" s="29">
        <f>'FF Deposit'!N66+IF(Components!O66&gt;0,M66-Components!O66,M66*(1+EarningsRate))</f>
        <v>18976.81232556342</v>
      </c>
      <c r="O66" s="29">
        <f>'FF Deposit'!O66+IF(Components!P66&gt;0,N66-Components!P66,N66*(1+EarningsRate))</f>
        <v>20926.973191608442</v>
      </c>
      <c r="P66" s="29">
        <f>'FF Deposit'!P66+IF(Components!Q66&gt;0,O66-Components!Q66,O66*(1+EarningsRate))</f>
        <v>22918.087435840411</v>
      </c>
      <c r="Q66" s="29">
        <f>'FF Deposit'!Q66+IF(Components!R66&gt;0,P66-Components!R66,P66*(1+EarningsRate))</f>
        <v>24951.01507920125</v>
      </c>
      <c r="R66" s="29">
        <f>'FF Deposit'!R66+IF(Components!S66&gt;0,Q66-Components!S66,Q66*(1+EarningsRate))</f>
        <v>27026.634203072666</v>
      </c>
      <c r="S66" s="29">
        <f>'FF Deposit'!S66+IF(Components!T66&gt;0,R66-Components!T66,R66*(1+EarningsRate))</f>
        <v>2598.1855426180618</v>
      </c>
      <c r="T66" s="29">
        <f>'FF Deposit'!T66+IF(Components!U66&gt;0,S66-Components!U66,S66*(1+EarningsRate))</f>
        <v>5252.2987785584364</v>
      </c>
      <c r="U66" s="29">
        <f>'FF Deposit'!U66+IF(Components!V66&gt;0,T66-Components!V66,T66*(1+EarningsRate))</f>
        <v>7962.1483924535587</v>
      </c>
      <c r="V66" s="29">
        <f>'FF Deposit'!V66+IF(Components!W66&gt;0,U66-Components!W66,U66*(1+EarningsRate))</f>
        <v>10728.904848240478</v>
      </c>
      <c r="W66" s="29">
        <f>'FF Deposit'!W66+IF(Components!X66&gt;0,V66-Components!X66,V66*(1+EarningsRate))</f>
        <v>13553.763189598922</v>
      </c>
      <c r="X66" s="29">
        <f>'FF Deposit'!X66+IF(Components!Y66&gt;0,W66-Components!Y66,W66*(1+EarningsRate))</f>
        <v>16437.943556125894</v>
      </c>
      <c r="Y66" s="29">
        <f>'FF Deposit'!Y66+IF(Components!Z66&gt;0,X66-Components!Z66,X66*(1+EarningsRate))</f>
        <v>19382.691710349933</v>
      </c>
      <c r="Z66" s="29">
        <f>'FF Deposit'!Z66+IF(Components!AA66&gt;0,Y66-Components!AA66,Y66*(1+EarningsRate))</f>
        <v>22389.279575812674</v>
      </c>
      <c r="AA66" s="29">
        <f>'FF Deposit'!AA66+IF(Components!AB66&gt;0,Z66-Components!AB66,Z66*(1+EarningsRate))</f>
        <v>25459.005786450136</v>
      </c>
      <c r="AB66" s="29">
        <f>'FF Deposit'!AB66+IF(Components!AC66&gt;0,AA66-Components!AC66,AA66*(1+EarningsRate))</f>
        <v>28593.196247510983</v>
      </c>
      <c r="AC66" s="29">
        <f>'FF Deposit'!AC66+IF(Components!AD66&gt;0,AB66-Components!AD66,AB66*(1+EarningsRate))</f>
        <v>31793.204708254107</v>
      </c>
      <c r="AD66" s="29">
        <f>'FF Deposit'!AD66+IF(Components!AE66&gt;0,AC66-Components!AE66,AC66*(1+EarningsRate))</f>
        <v>35060.413346672838</v>
      </c>
      <c r="AE66" s="29">
        <f>'FF Deposit'!AE66+IF(Components!AF66&gt;0,AD66-Components!AF66,AD66*(1+EarningsRate))</f>
        <v>38396.23336649836</v>
      </c>
      <c r="AF66" s="29">
        <f>'FF Deposit'!AF66+IF(Components!AG66&gt;0,AE66-Components!AG66,AE66*(1+EarningsRate))</f>
        <v>41802.105606740217</v>
      </c>
      <c r="AG66" s="29">
        <f>'FF Deposit'!AG66+IF(Components!AH66&gt;0,AF66-Components!AH66,AF66*(1+EarningsRate))</f>
        <v>45279.501164027155</v>
      </c>
      <c r="AH66" s="29">
        <f>'FF Deposit'!AH66+IF(Components!AI66&gt;0,AG66-Components!AI66,AG66*(1+EarningsRate))</f>
        <v>4353.6248951931693</v>
      </c>
      <c r="AI66" s="29">
        <f>'FF Deposit'!AI66+IF(Components!AJ66&gt;0,AH66-Components!AJ66,AH66*(1+EarningsRate))</f>
        <v>8800.1747491582391</v>
      </c>
      <c r="AJ66" s="29">
        <f>'FF Deposit'!AJ66+IF(Components!AK66&gt;0,AI66-Components!AK66,AI66*(1+EarningsRate))</f>
        <v>13340.102150056577</v>
      </c>
      <c r="AK66" s="29">
        <f>'FF Deposit'!AK66+IF(Components!AL66&gt;0,AJ66-Components!AL66,AJ66*(1+EarningsRate))</f>
        <v>17975.368026373777</v>
      </c>
      <c r="AL66" s="29">
        <f>'FF Deposit'!AL66+IF(Components!AM66&gt;0,AK66-Components!AM66,AK66*(1+EarningsRate))</f>
        <v>22707.974486093641</v>
      </c>
      <c r="AM66" s="29">
        <f>'FF Deposit'!AM66+IF(Components!AN66&gt;0,AL66-Components!AN66,AL66*(1+EarningsRate))</f>
        <v>27539.96568146762</v>
      </c>
      <c r="AN66" s="29">
        <f>'FF Deposit'!AN66+IF(Components!AO66&gt;0,AM66-Components!AO66,AM66*(1+EarningsRate))</f>
        <v>32473.428691944453</v>
      </c>
      <c r="AO66" s="29">
        <f>'FF Deposit'!AO66+IF(Components!AP66&gt;0,AN66-Components!AP66,AN66*(1+EarningsRate))</f>
        <v>37510.4944256413</v>
      </c>
      <c r="AP66" s="53"/>
    </row>
    <row r="67" spans="1:42" s="1" customFormat="1">
      <c r="A67" s="220" t="str">
        <f>Components!B67</f>
        <v>Pools</v>
      </c>
      <c r="B67" s="220" t="str">
        <f>Components!C67</f>
        <v>Boiler, outdoor pool</v>
      </c>
      <c r="C67" s="211"/>
      <c r="D67" s="211"/>
      <c r="E67" s="82">
        <f>AnalysisYear-Components!I67-Components!J67</f>
        <v>1</v>
      </c>
      <c r="F67" s="82">
        <f>IF(H67&lt;0,Components!K67-MOD(AnalysisYear-Components!I67-Components!J67,Components!K67),AnalysisYear-Components!I67-Components!J67)</f>
        <v>1</v>
      </c>
      <c r="G67" s="11">
        <f>ROUND(Components!H67*IF(H67&lt;0,((1+InflationRate)^F67),((1+InflationRate)^H67)),0)</f>
        <v>34085</v>
      </c>
      <c r="H67" s="82">
        <f>IF(E67&gt;=0,Components!K67-E67,E67)</f>
        <v>14</v>
      </c>
      <c r="I67" s="82"/>
      <c r="J67" s="211"/>
      <c r="K67" s="29">
        <f>IF($H67&gt;0,FV(EarningsRate,F67,-'FF Deposit'!L67,1),Components!$H67)</f>
        <v>1955.7614296540985</v>
      </c>
      <c r="L67" s="29">
        <f>'FF Deposit'!L67+IF(Components!M67&gt;0,K67-Components!M67,K67*(1+EarningsRate))</f>
        <v>3953.6148493309415</v>
      </c>
      <c r="M67" s="29">
        <f>'FF Deposit'!M67+IF(Components!N67&gt;0,L67-Components!N67,L67*(1+EarningsRate))</f>
        <v>5993.4231908209986</v>
      </c>
      <c r="N67" s="29">
        <f>'FF Deposit'!N67+IF(Components!O67&gt;0,M67-Components!O67,M67*(1+EarningsRate))</f>
        <v>8076.0675074823466</v>
      </c>
      <c r="O67" s="29">
        <f>'FF Deposit'!O67+IF(Components!P67&gt;0,N67-Components!P67,N67*(1+EarningsRate))</f>
        <v>10202.447354793583</v>
      </c>
      <c r="P67" s="29">
        <f>'FF Deposit'!P67+IF(Components!Q67&gt;0,O67-Components!Q67,O67*(1+EarningsRate))</f>
        <v>12373.481178898355</v>
      </c>
      <c r="Q67" s="29">
        <f>'FF Deposit'!Q67+IF(Components!R67&gt;0,P67-Components!R67,P67*(1+EarningsRate))</f>
        <v>14590.106713309327</v>
      </c>
      <c r="R67" s="29">
        <f>'FF Deposit'!R67+IF(Components!S67&gt;0,Q67-Components!S67,Q67*(1+EarningsRate))</f>
        <v>16853.281383942929</v>
      </c>
      <c r="S67" s="29">
        <f>'FF Deposit'!S67+IF(Components!T67&gt;0,R67-Components!T67,R67*(1+EarningsRate))</f>
        <v>19163.982722659835</v>
      </c>
      <c r="T67" s="29">
        <f>'FF Deposit'!T67+IF(Components!U67&gt;0,S67-Components!U67,S67*(1+EarningsRate))</f>
        <v>21523.2087894898</v>
      </c>
      <c r="U67" s="29">
        <f>'FF Deposit'!U67+IF(Components!V67&gt;0,T67-Components!V67,T67*(1+EarningsRate))</f>
        <v>23931.97860372319</v>
      </c>
      <c r="V67" s="29">
        <f>'FF Deposit'!V67+IF(Components!W67&gt;0,U67-Components!W67,U67*(1+EarningsRate))</f>
        <v>26391.332584055483</v>
      </c>
      <c r="W67" s="29">
        <f>'FF Deposit'!W67+IF(Components!X67&gt;0,V67-Components!X67,V67*(1+EarningsRate))</f>
        <v>28902.332997974754</v>
      </c>
      <c r="X67" s="29">
        <f>'FF Deposit'!X67+IF(Components!Y67&gt;0,W67-Components!Y67,W67*(1+EarningsRate))</f>
        <v>31466.064420586328</v>
      </c>
      <c r="Y67" s="29">
        <f>'FF Deposit'!Y67+IF(Components!Z67&gt;0,X67-Components!Z67,X67*(1+EarningsRate))</f>
        <v>34083.634203072746</v>
      </c>
      <c r="Z67" s="29">
        <f>'FF Deposit'!Z67+IF(Components!AA67&gt;0,Y67-Components!AA67,Y67*(1+EarningsRate))</f>
        <v>3276.9273586301238</v>
      </c>
      <c r="AA67" s="29">
        <f>'FF Deposit'!AA67+IF(Components!AB67&gt;0,Z67-Components!AB67,Z67*(1+EarningsRate))</f>
        <v>6624.0359887187333</v>
      </c>
      <c r="AB67" s="29">
        <f>'FF Deposit'!AB67+IF(Components!AC67&gt;0,AA67-Components!AC67,AA67*(1+EarningsRate))</f>
        <v>10041.433900039203</v>
      </c>
      <c r="AC67" s="29">
        <f>'FF Deposit'!AC67+IF(Components!AD67&gt;0,AB67-Components!AD67,AB67*(1+EarningsRate))</f>
        <v>13530.597167497403</v>
      </c>
      <c r="AD67" s="29">
        <f>'FF Deposit'!AD67+IF(Components!AE67&gt;0,AC67-Components!AE67,AC67*(1+EarningsRate))</f>
        <v>17093.032863572225</v>
      </c>
      <c r="AE67" s="29">
        <f>'FF Deposit'!AE67+IF(Components!AF67&gt;0,AD67-Components!AF67,AD67*(1+EarningsRate))</f>
        <v>20730.279709264618</v>
      </c>
      <c r="AF67" s="29">
        <f>'FF Deposit'!AF67+IF(Components!AG67&gt;0,AE67-Components!AG67,AE67*(1+EarningsRate))</f>
        <v>24443.908738716549</v>
      </c>
      <c r="AG67" s="29">
        <f>'FF Deposit'!AG67+IF(Components!AH67&gt;0,AF67-Components!AH67,AF67*(1+EarningsRate))</f>
        <v>28235.523977786972</v>
      </c>
      <c r="AH67" s="29">
        <f>'FF Deposit'!AH67+IF(Components!AI67&gt;0,AG67-Components!AI67,AG67*(1+EarningsRate))</f>
        <v>32106.763136877875</v>
      </c>
      <c r="AI67" s="29">
        <f>'FF Deposit'!AI67+IF(Components!AJ67&gt;0,AH67-Components!AJ67,AH67*(1+EarningsRate))</f>
        <v>36059.29831830968</v>
      </c>
      <c r="AJ67" s="29">
        <f>'FF Deposit'!AJ67+IF(Components!AK67&gt;0,AI67-Components!AK67,AI67*(1+EarningsRate))</f>
        <v>40094.836738551552</v>
      </c>
      <c r="AK67" s="29">
        <f>'FF Deposit'!AK67+IF(Components!AL67&gt;0,AJ67-Components!AL67,AJ67*(1+EarningsRate))</f>
        <v>44215.121465618504</v>
      </c>
      <c r="AL67" s="29">
        <f>'FF Deposit'!AL67+IF(Components!AM67&gt;0,AK67-Components!AM67,AK67*(1+EarningsRate))</f>
        <v>48421.932171953864</v>
      </c>
      <c r="AM67" s="29">
        <f>'FF Deposit'!AM67+IF(Components!AN67&gt;0,AL67-Components!AN67,AL67*(1+EarningsRate))</f>
        <v>52717.085903122264</v>
      </c>
      <c r="AN67" s="29">
        <f>'FF Deposit'!AN67+IF(Components!AO67&gt;0,AM67-Components!AO67,AM67*(1+EarningsRate))</f>
        <v>57102.437862645202</v>
      </c>
      <c r="AO67" s="29">
        <f>'FF Deposit'!AO67+IF(Components!AP67&gt;0,AN67-Components!AP67,AN67*(1+EarningsRate))</f>
        <v>5490.6969899724272</v>
      </c>
      <c r="AP67" s="53"/>
    </row>
    <row r="68" spans="1:42" s="1" customFormat="1">
      <c r="A68" s="220" t="str">
        <f>Components!B68</f>
        <v>Pools</v>
      </c>
      <c r="B68" s="220" t="str">
        <f>Components!C68</f>
        <v>Boiler, indoor spa</v>
      </c>
      <c r="C68" s="211"/>
      <c r="D68" s="211"/>
      <c r="E68" s="82">
        <f>AnalysisYear-Components!I68-Components!J68</f>
        <v>1</v>
      </c>
      <c r="F68" s="82">
        <f>IF(H68&lt;0,Components!K68-MOD(AnalysisYear-Components!I68-Components!J68,Components!K68),AnalysisYear-Components!I68-Components!J68)</f>
        <v>1</v>
      </c>
      <c r="G68" s="11">
        <f>ROUND(Components!H68*IF(H68&lt;0,((1+InflationRate)^F68),((1+InflationRate)^H68)),0)</f>
        <v>27631</v>
      </c>
      <c r="H68" s="82">
        <f>IF(E68&gt;=0,Components!K68-E68,E68)</f>
        <v>14</v>
      </c>
      <c r="I68" s="82"/>
      <c r="J68" s="211"/>
      <c r="K68" s="29">
        <f>IF($H68&gt;0,FV(EarningsRate,F68,-'FF Deposit'!L68,1),Components!$H68)</f>
        <v>1585.2443752023585</v>
      </c>
      <c r="L68" s="29">
        <f>'FF Deposit'!L68+IF(Components!M68&gt;0,K68-Components!M68,K68*(1+EarningsRate))</f>
        <v>3204.7998822839736</v>
      </c>
      <c r="M68" s="29">
        <f>'FF Deposit'!M68+IF(Components!N68&gt;0,L68-Components!N68,L68*(1+EarningsRate))</f>
        <v>4858.3660550143022</v>
      </c>
      <c r="N68" s="29">
        <f>'FF Deposit'!N68+IF(Components!O68&gt;0,M68-Components!O68,M68*(1+EarningsRate))</f>
        <v>6546.6571173719676</v>
      </c>
      <c r="O68" s="29">
        <f>'FF Deposit'!O68+IF(Components!P68&gt;0,N68-Components!P68,N68*(1+EarningsRate))</f>
        <v>8270.4022920391435</v>
      </c>
      <c r="P68" s="29">
        <f>'FF Deposit'!P68+IF(Components!Q68&gt;0,O68-Components!Q68,O68*(1+EarningsRate))</f>
        <v>10030.34611537433</v>
      </c>
      <c r="Q68" s="29">
        <f>'FF Deposit'!Q68+IF(Components!R68&gt;0,P68-Components!R68,P68*(1+EarningsRate))</f>
        <v>11827.248758999556</v>
      </c>
      <c r="R68" s="29">
        <f>'FF Deposit'!R68+IF(Components!S68&gt;0,Q68-Components!S68,Q68*(1+EarningsRate))</f>
        <v>13661.886358140911</v>
      </c>
      <c r="S68" s="29">
        <f>'FF Deposit'!S68+IF(Components!T68&gt;0,R68-Components!T68,R68*(1+EarningsRate))</f>
        <v>15535.051346864235</v>
      </c>
      <c r="T68" s="29">
        <f>'FF Deposit'!T68+IF(Components!U68&gt;0,S68-Components!U68,S68*(1+EarningsRate))</f>
        <v>17447.55280035075</v>
      </c>
      <c r="U68" s="29">
        <f>'FF Deposit'!U68+IF(Components!V68&gt;0,T68-Components!V68,T68*(1+EarningsRate))</f>
        <v>19400.21678436048</v>
      </c>
      <c r="V68" s="29">
        <f>'FF Deposit'!V68+IF(Components!W68&gt;0,U68-Components!W68,U68*(1+EarningsRate))</f>
        <v>21393.886712034415</v>
      </c>
      <c r="W68" s="29">
        <f>'FF Deposit'!W68+IF(Components!X68&gt;0,V68-Components!X68,V68*(1+EarningsRate))</f>
        <v>23429.423708189501</v>
      </c>
      <c r="X68" s="29">
        <f>'FF Deposit'!X68+IF(Components!Y68&gt;0,W68-Components!Y68,W68*(1+EarningsRate))</f>
        <v>25507.706981263844</v>
      </c>
      <c r="Y68" s="29">
        <f>'FF Deposit'!Y68+IF(Components!Z68&gt;0,X68-Components!Z68,X68*(1+EarningsRate))</f>
        <v>27629.634203072746</v>
      </c>
      <c r="Z68" s="29">
        <f>'FF Deposit'!Z68+IF(Components!AA68&gt;0,Y68-Components!AA68,Y68*(1+EarningsRate))</f>
        <v>2656.1820446806651</v>
      </c>
      <c r="AA68" s="29">
        <f>'FF Deposit'!AA68+IF(Components!AB68&gt;0,Z68-Components!AB68,Z68*(1+EarningsRate))</f>
        <v>5369.509709226877</v>
      </c>
      <c r="AB68" s="29">
        <f>'FF Deposit'!AB68+IF(Components!AC68&gt;0,AA68-Components!AC68,AA68*(1+EarningsRate))</f>
        <v>8139.8172547285594</v>
      </c>
      <c r="AC68" s="29">
        <f>'FF Deposit'!AC68+IF(Components!AD68&gt;0,AB68-Components!AD68,AB68*(1+EarningsRate))</f>
        <v>10968.301258685777</v>
      </c>
      <c r="AD68" s="29">
        <f>'FF Deposit'!AD68+IF(Components!AE68&gt;0,AC68-Components!AE68,AC68*(1+EarningsRate))</f>
        <v>13856.183426726095</v>
      </c>
      <c r="AE68" s="29">
        <f>'FF Deposit'!AE68+IF(Components!AF68&gt;0,AD68-Components!AF68,AD68*(1+EarningsRate))</f>
        <v>16804.711120295258</v>
      </c>
      <c r="AF68" s="29">
        <f>'FF Deposit'!AF68+IF(Components!AG68&gt;0,AE68-Components!AG68,AE68*(1+EarningsRate))</f>
        <v>19815.157895429373</v>
      </c>
      <c r="AG68" s="29">
        <f>'FF Deposit'!AG68+IF(Components!AH68&gt;0,AF68-Components!AH68,AF68*(1+EarningsRate))</f>
        <v>22888.824052841308</v>
      </c>
      <c r="AH68" s="29">
        <f>'FF Deposit'!AH68+IF(Components!AI68&gt;0,AG68-Components!AI68,AG68*(1+EarningsRate))</f>
        <v>26027.037199558894</v>
      </c>
      <c r="AI68" s="29">
        <f>'FF Deposit'!AI68+IF(Components!AJ68&gt;0,AH68-Components!AJ68,AH68*(1+EarningsRate))</f>
        <v>29231.152822357544</v>
      </c>
      <c r="AJ68" s="29">
        <f>'FF Deposit'!AJ68+IF(Components!AK68&gt;0,AI68-Components!AK68,AI68*(1+EarningsRate))</f>
        <v>32502.554873234971</v>
      </c>
      <c r="AK68" s="29">
        <f>'FF Deposit'!AK68+IF(Components!AL68&gt;0,AJ68-Components!AL68,AJ68*(1+EarningsRate))</f>
        <v>35842.656367180825</v>
      </c>
      <c r="AL68" s="29">
        <f>'FF Deposit'!AL68+IF(Components!AM68&gt;0,AK68-Components!AM68,AK68*(1+EarningsRate))</f>
        <v>39252.899992499537</v>
      </c>
      <c r="AM68" s="29">
        <f>'FF Deposit'!AM68+IF(Components!AN68&gt;0,AL68-Components!AN68,AL68*(1+EarningsRate))</f>
        <v>42734.758733949944</v>
      </c>
      <c r="AN68" s="29">
        <f>'FF Deposit'!AN68+IF(Components!AO68&gt;0,AM68-Components!AO68,AM68*(1+EarningsRate))</f>
        <v>46289.736508970811</v>
      </c>
      <c r="AO68" s="29">
        <f>'FF Deposit'!AO68+IF(Components!AP68&gt;0,AN68-Components!AP68,AN68*(1+EarningsRate))</f>
        <v>4450.09815653021</v>
      </c>
      <c r="AP68" s="53"/>
    </row>
    <row r="69" spans="1:42" s="1" customFormat="1">
      <c r="A69" s="220" t="str">
        <f>Components!B69</f>
        <v>Pools</v>
      </c>
      <c r="B69" s="220" t="str">
        <f>Components!C69</f>
        <v>Chemical control system, indoor pool/spa</v>
      </c>
      <c r="C69" s="211"/>
      <c r="D69" s="211"/>
      <c r="E69" s="82">
        <f>AnalysisYear-Components!I69-Components!J69</f>
        <v>8</v>
      </c>
      <c r="F69" s="82">
        <f>IF(H69&lt;0,Components!K69-MOD(AnalysisYear-Components!I69-Components!J69,Components!K69),AnalysisYear-Components!I69-Components!J69)</f>
        <v>8</v>
      </c>
      <c r="G69" s="11">
        <f>ROUND(Components!H69*IF(H69&lt;0,((1+InflationRate)^F69),((1+InflationRate)^H69)),0)</f>
        <v>17361</v>
      </c>
      <c r="H69" s="82">
        <f>IF(E69&gt;=0,Components!K69-E69,E69)</f>
        <v>2</v>
      </c>
      <c r="I69" s="82"/>
      <c r="J69" s="211"/>
      <c r="K69" s="29">
        <f>IF($H69&gt;0,FV(EarningsRate,F69,-'FF Deposit'!L69,1),Components!$H69)</f>
        <v>13593.148275531703</v>
      </c>
      <c r="L69" s="29">
        <f>'FF Deposit'!L69+IF(Components!M69&gt;0,K69-Components!M69,K69*(1+EarningsRate))</f>
        <v>15456.889357302985</v>
      </c>
      <c r="M69" s="29">
        <f>'FF Deposit'!M69+IF(Components!N69&gt;0,L69-Components!N69,L69*(1+EarningsRate))</f>
        <v>17359.769001791465</v>
      </c>
      <c r="N69" s="29">
        <f>'FF Deposit'!N69+IF(Components!O69&gt;0,M69-Components!O69,M69*(1+EarningsRate))</f>
        <v>2225.0958215382193</v>
      </c>
      <c r="O69" s="29">
        <f>'FF Deposit'!O69+IF(Components!P69&gt;0,N69-Components!P69,N69*(1+EarningsRate))</f>
        <v>4498.1496535372762</v>
      </c>
      <c r="P69" s="29">
        <f>'FF Deposit'!P69+IF(Components!Q69&gt;0,O69-Components!Q69,O69*(1+EarningsRate))</f>
        <v>6818.9376160083139</v>
      </c>
      <c r="Q69" s="29">
        <f>'FF Deposit'!Q69+IF(Components!R69&gt;0,P69-Components!R69,P69*(1+EarningsRate))</f>
        <v>9188.4621256912433</v>
      </c>
      <c r="R69" s="29">
        <f>'FF Deposit'!R69+IF(Components!S69&gt;0,Q69-Components!S69,Q69*(1+EarningsRate))</f>
        <v>11607.746650077514</v>
      </c>
      <c r="S69" s="29">
        <f>'FF Deposit'!S69+IF(Components!T69&gt;0,R69-Components!T69,R69*(1+EarningsRate))</f>
        <v>14077.836149475896</v>
      </c>
      <c r="T69" s="29">
        <f>'FF Deposit'!T69+IF(Components!U69&gt;0,S69-Components!U69,S69*(1+EarningsRate))</f>
        <v>16599.797528361643</v>
      </c>
      <c r="U69" s="29">
        <f>'FF Deposit'!U69+IF(Components!V69&gt;0,T69-Components!V69,T69*(1+EarningsRate))</f>
        <v>19174.72009620399</v>
      </c>
      <c r="V69" s="29">
        <f>'FF Deposit'!V69+IF(Components!W69&gt;0,U69-Components!W69,U69*(1+EarningsRate))</f>
        <v>21803.716037971026</v>
      </c>
      <c r="W69" s="29">
        <f>'FF Deposit'!W69+IF(Components!X69&gt;0,V69-Components!X69,V69*(1+EarningsRate))</f>
        <v>24487.920894515169</v>
      </c>
      <c r="X69" s="29">
        <f>'FF Deposit'!X69+IF(Components!Y69&gt;0,W69-Components!Y69,W69*(1+EarningsRate))</f>
        <v>3139.3228004409957</v>
      </c>
      <c r="Y69" s="29">
        <f>'FF Deposit'!Y69+IF(Components!Z69&gt;0,X69-Components!Z69,X69*(1+EarningsRate))</f>
        <v>6345.6504851760819</v>
      </c>
      <c r="Z69" s="29">
        <f>'FF Deposit'!Z69+IF(Components!AA69&gt;0,Y69-Components!AA69,Y69*(1+EarningsRate))</f>
        <v>9619.311051290606</v>
      </c>
      <c r="AA69" s="29">
        <f>'FF Deposit'!AA69+IF(Components!AB69&gt;0,Z69-Components!AB69,Z69*(1+EarningsRate))</f>
        <v>12961.718489293535</v>
      </c>
      <c r="AB69" s="29">
        <f>'FF Deposit'!AB69+IF(Components!AC69&gt;0,AA69-Components!AC69,AA69*(1+EarningsRate))</f>
        <v>16374.316483494524</v>
      </c>
      <c r="AC69" s="29">
        <f>'FF Deposit'!AC69+IF(Components!AD69&gt;0,AB69-Components!AD69,AB69*(1+EarningsRate))</f>
        <v>19858.579035573734</v>
      </c>
      <c r="AD69" s="29">
        <f>'FF Deposit'!AD69+IF(Components!AE69&gt;0,AC69-Components!AE69,AC69*(1+EarningsRate))</f>
        <v>23416.011101246608</v>
      </c>
      <c r="AE69" s="29">
        <f>'FF Deposit'!AE69+IF(Components!AF69&gt;0,AD69-Components!AF69,AD69*(1+EarningsRate))</f>
        <v>27048.149240298611</v>
      </c>
      <c r="AF69" s="29">
        <f>'FF Deposit'!AF69+IF(Components!AG69&gt;0,AE69-Components!AG69,AE69*(1+EarningsRate))</f>
        <v>30756.562280270708</v>
      </c>
      <c r="AG69" s="29">
        <f>'FF Deposit'!AG69+IF(Components!AH69&gt;0,AF69-Components!AH69,AF69*(1+EarningsRate))</f>
        <v>34542.851994082215</v>
      </c>
      <c r="AH69" s="29">
        <f>'FF Deposit'!AH69+IF(Components!AI69&gt;0,AG69-Components!AI69,AG69*(1+EarningsRate))</f>
        <v>4428.6794038703547</v>
      </c>
      <c r="AI69" s="29">
        <f>'FF Deposit'!AI69+IF(Components!AJ69&gt;0,AH69-Components!AJ69,AH69*(1+EarningsRate))</f>
        <v>8951.5090811397713</v>
      </c>
      <c r="AJ69" s="29">
        <f>'FF Deposit'!AJ69+IF(Components!AK69&gt;0,AI69-Components!AK69,AI69*(1+EarningsRate))</f>
        <v>13569.318181631847</v>
      </c>
      <c r="AK69" s="29">
        <f>'FF Deposit'!AK69+IF(Components!AL69&gt;0,AJ69-Components!AL69,AJ69*(1+EarningsRate))</f>
        <v>18284.101273234253</v>
      </c>
      <c r="AL69" s="29">
        <f>'FF Deposit'!AL69+IF(Components!AM69&gt;0,AK69-Components!AM69,AK69*(1+EarningsRate))</f>
        <v>23097.89480976031</v>
      </c>
      <c r="AM69" s="29">
        <f>'FF Deposit'!AM69+IF(Components!AN69&gt;0,AL69-Components!AN69,AL69*(1+EarningsRate))</f>
        <v>28012.778010553415</v>
      </c>
      <c r="AN69" s="29">
        <f>'FF Deposit'!AN69+IF(Components!AO69&gt;0,AM69-Components!AO69,AM69*(1+EarningsRate))</f>
        <v>33030.873758563175</v>
      </c>
      <c r="AO69" s="29">
        <f>'FF Deposit'!AO69+IF(Components!AP69&gt;0,AN69-Components!AP69,AN69*(1+EarningsRate))</f>
        <v>38154.349517281138</v>
      </c>
      <c r="AP69" s="53"/>
    </row>
    <row r="70" spans="1:42" s="1" customFormat="1">
      <c r="A70" s="220" t="str">
        <f>Components!B70</f>
        <v>Pools</v>
      </c>
      <c r="B70" s="220" t="str">
        <f>Components!C70</f>
        <v>Clubhouse Pool PDU</v>
      </c>
      <c r="C70" s="211"/>
      <c r="D70" s="211"/>
      <c r="E70" s="82">
        <f>AnalysisYear-Components!I70-Components!J70</f>
        <v>8</v>
      </c>
      <c r="F70" s="82">
        <f>IF(H70&lt;0,Components!K70-MOD(AnalysisYear-Components!I70-Components!J70,Components!K70),AnalysisYear-Components!I70-Components!J70)</f>
        <v>8</v>
      </c>
      <c r="G70" s="11">
        <f>ROUND(Components!H70*IF(H70&lt;0,((1+InflationRate)^F70),((1+InflationRate)^H70)),0)</f>
        <v>49758</v>
      </c>
      <c r="H70" s="82">
        <f>IF(E70&gt;=0,Components!K70-E70,E70)</f>
        <v>7</v>
      </c>
      <c r="I70" s="82"/>
      <c r="J70" s="211"/>
      <c r="K70" s="29">
        <f>IF($H70&gt;0,FV(EarningsRate,F70,-'FF Deposit'!L70,1),Components!$H70)</f>
        <v>24603.317677620336</v>
      </c>
      <c r="L70" s="29">
        <f>'FF Deposit'!L70+IF(Components!M70&gt;0,K70-Components!M70,K70*(1+EarningsRate))</f>
        <v>27976.539501842264</v>
      </c>
      <c r="M70" s="29">
        <f>'FF Deposit'!M70+IF(Components!N70&gt;0,L70-Components!N70,L70*(1+EarningsRate))</f>
        <v>31420.598984372853</v>
      </c>
      <c r="N70" s="29">
        <f>'FF Deposit'!N70+IF(Components!O70&gt;0,M70-Components!O70,M70*(1+EarningsRate))</f>
        <v>34936.983716036586</v>
      </c>
      <c r="O70" s="29">
        <f>'FF Deposit'!O70+IF(Components!P70&gt;0,N70-Components!P70,N70*(1+EarningsRate))</f>
        <v>38527.212527065254</v>
      </c>
      <c r="P70" s="29">
        <f>'FF Deposit'!P70+IF(Components!Q70&gt;0,O70-Components!Q70,O70*(1+EarningsRate))</f>
        <v>42192.836143125525</v>
      </c>
      <c r="Q70" s="29">
        <f>'FF Deposit'!Q70+IF(Components!R70&gt;0,P70-Components!R70,P70*(1+EarningsRate))</f>
        <v>45935.437855123062</v>
      </c>
      <c r="R70" s="29">
        <f>'FF Deposit'!R70+IF(Components!S70&gt;0,Q70-Components!S70,Q70*(1+EarningsRate))</f>
        <v>49756.63420307255</v>
      </c>
      <c r="S70" s="29">
        <f>'FF Deposit'!S70+IF(Components!T70&gt;0,R70-Components!T70,R70*(1+EarningsRate))</f>
        <v>4784.3555125701005</v>
      </c>
      <c r="T70" s="29">
        <f>'FF Deposit'!T70+IF(Components!U70&gt;0,S70-Components!U70,S70*(1+EarningsRate))</f>
        <v>9670.5482878316216</v>
      </c>
      <c r="U70" s="29">
        <f>'FF Deposit'!U70+IF(Components!V70&gt;0,T70-Components!V70,T70*(1+EarningsRate))</f>
        <v>14659.351111373635</v>
      </c>
      <c r="V70" s="29">
        <f>'FF Deposit'!V70+IF(Components!W70&gt;0,U70-Components!W70,U70*(1+EarningsRate))</f>
        <v>19752.918794210033</v>
      </c>
      <c r="W70" s="29">
        <f>'FF Deposit'!W70+IF(Components!X70&gt;0,V70-Components!X70,V70*(1+EarningsRate))</f>
        <v>24953.451398385994</v>
      </c>
      <c r="X70" s="29">
        <f>'FF Deposit'!X70+IF(Components!Y70&gt;0,W70-Components!Y70,W70*(1+EarningsRate))</f>
        <v>30263.19518724965</v>
      </c>
      <c r="Y70" s="29">
        <f>'FF Deposit'!Y70+IF(Components!Z70&gt;0,X70-Components!Z70,X70*(1+EarningsRate))</f>
        <v>35684.44359567944</v>
      </c>
      <c r="Z70" s="29">
        <f>'FF Deposit'!Z70+IF(Components!AA70&gt;0,Y70-Components!AA70,Y70*(1+EarningsRate))</f>
        <v>41219.538220686256</v>
      </c>
      <c r="AA70" s="29">
        <f>'FF Deposit'!AA70+IF(Components!AB70&gt;0,Z70-Components!AB70,Z70*(1+EarningsRate))</f>
        <v>46870.869832818214</v>
      </c>
      <c r="AB70" s="29">
        <f>'FF Deposit'!AB70+IF(Components!AC70&gt;0,AA70-Components!AC70,AA70*(1+EarningsRate))</f>
        <v>52640.879408804947</v>
      </c>
      <c r="AC70" s="29">
        <f>'FF Deposit'!AC70+IF(Components!AD70&gt;0,AB70-Components!AD70,AB70*(1+EarningsRate))</f>
        <v>58532.059185887396</v>
      </c>
      <c r="AD70" s="29">
        <f>'FF Deposit'!AD70+IF(Components!AE70&gt;0,AC70-Components!AE70,AC70*(1+EarningsRate))</f>
        <v>64546.953738288576</v>
      </c>
      <c r="AE70" s="29">
        <f>'FF Deposit'!AE70+IF(Components!AF70&gt;0,AD70-Components!AF70,AD70*(1+EarningsRate))</f>
        <v>70688.161076290169</v>
      </c>
      <c r="AF70" s="29">
        <f>'FF Deposit'!AF70+IF(Components!AG70&gt;0,AE70-Components!AG70,AE70*(1+EarningsRate))</f>
        <v>76958.333768389799</v>
      </c>
      <c r="AG70" s="29">
        <f>'FF Deposit'!AG70+IF(Components!AH70&gt;0,AF70-Components!AH70,AF70*(1+EarningsRate))</f>
        <v>83360.180087023517</v>
      </c>
      <c r="AH70" s="29">
        <f>'FF Deposit'!AH70+IF(Components!AI70&gt;0,AG70-Components!AI70,AG70*(1+EarningsRate))</f>
        <v>8015.9320023403452</v>
      </c>
      <c r="AI70" s="29">
        <f>'FF Deposit'!AI70+IF(Components!AJ70&gt;0,AH70-Components!AJ70,AH70*(1+EarningsRate))</f>
        <v>16202.018489706319</v>
      </c>
      <c r="AJ70" s="29">
        <f>'FF Deposit'!AJ70+IF(Components!AK70&gt;0,AI70-Components!AK70,AI70*(1+EarningsRate))</f>
        <v>24560.012793306978</v>
      </c>
      <c r="AK70" s="29">
        <f>'FF Deposit'!AK70+IF(Components!AL70&gt;0,AJ70-Components!AL70,AJ70*(1+EarningsRate))</f>
        <v>33093.524977283247</v>
      </c>
      <c r="AL70" s="29">
        <f>'FF Deposit'!AL70+IF(Components!AM70&gt;0,AK70-Components!AM70,AK70*(1+EarningsRate))</f>
        <v>41806.240917123025</v>
      </c>
      <c r="AM70" s="29">
        <f>'FF Deposit'!AM70+IF(Components!AN70&gt;0,AL70-Components!AN70,AL70*(1+EarningsRate))</f>
        <v>50701.923891699436</v>
      </c>
      <c r="AN70" s="29">
        <f>'FF Deposit'!AN70+IF(Components!AO70&gt;0,AM70-Components!AO70,AM70*(1+EarningsRate))</f>
        <v>59784.416208741954</v>
      </c>
      <c r="AO70" s="29">
        <f>'FF Deposit'!AO70+IF(Components!AP70&gt;0,AN70-Components!AP70,AN70*(1+EarningsRate))</f>
        <v>69057.640864442365</v>
      </c>
      <c r="AP70" s="53"/>
    </row>
    <row r="71" spans="1:42" s="1" customFormat="1">
      <c r="A71" s="220" t="str">
        <f>Components!B71</f>
        <v>Pools</v>
      </c>
      <c r="B71" s="220" t="str">
        <f>Components!C71</f>
        <v xml:space="preserve">Compressor #1 Pool </v>
      </c>
      <c r="C71" s="211"/>
      <c r="D71" s="211"/>
      <c r="E71" s="82">
        <f>AnalysisYear-Components!I71-Components!J71</f>
        <v>8</v>
      </c>
      <c r="F71" s="82">
        <f>IF(H71&lt;0,Components!K71-MOD(AnalysisYear-Components!I71-Components!J71,Components!K71),AnalysisYear-Components!I71-Components!J71)</f>
        <v>8</v>
      </c>
      <c r="G71" s="11">
        <f>ROUND(Components!H71*IF(H71&lt;0,((1+InflationRate)^F71),((1+InflationRate)^H71)),0)</f>
        <v>9469</v>
      </c>
      <c r="H71" s="82">
        <f>IF(E71&gt;=0,Components!K71-E71,E71)</f>
        <v>7</v>
      </c>
      <c r="I71" s="82"/>
      <c r="J71" s="211"/>
      <c r="K71" s="29">
        <f>IF($H71&gt;0,FV(EarningsRate,F71,-'FF Deposit'!L71,1),Components!$H71)</f>
        <v>4681.0812049620563</v>
      </c>
      <c r="L71" s="29">
        <f>'FF Deposit'!L71+IF(Components!M71&gt;0,K71-Components!M71,K71*(1+EarningsRate))</f>
        <v>5322.9888046888709</v>
      </c>
      <c r="M71" s="29">
        <f>'FF Deposit'!M71+IF(Components!N71&gt;0,L71-Components!N71,L71*(1+EarningsRate))</f>
        <v>5978.3764640099489</v>
      </c>
      <c r="N71" s="29">
        <f>'FF Deposit'!N71+IF(Components!O71&gt;0,M71-Components!O71,M71*(1+EarningsRate))</f>
        <v>6647.5272641767697</v>
      </c>
      <c r="O71" s="29">
        <f>'FF Deposit'!O71+IF(Components!P71&gt;0,N71-Components!P71,N71*(1+EarningsRate))</f>
        <v>7330.730231147093</v>
      </c>
      <c r="P71" s="29">
        <f>'FF Deposit'!P71+IF(Components!Q71&gt;0,O71-Components!Q71,O71*(1+EarningsRate))</f>
        <v>8028.2804604237936</v>
      </c>
      <c r="Q71" s="29">
        <f>'FF Deposit'!Q71+IF(Components!R71&gt;0,P71-Components!R71,P71*(1+EarningsRate))</f>
        <v>8740.4792445153034</v>
      </c>
      <c r="R71" s="29">
        <f>'FF Deposit'!R71+IF(Components!S71&gt;0,Q71-Components!S71,Q71*(1+EarningsRate))</f>
        <v>9467.6342030727355</v>
      </c>
      <c r="S71" s="29">
        <f>'FF Deposit'!S71+IF(Components!T71&gt;0,R71-Components!T71,R71*(1+EarningsRate))</f>
        <v>909.36202733481002</v>
      </c>
      <c r="T71" s="29">
        <f>'FF Deposit'!T71+IF(Components!U71&gt;0,S71-Components!U71,S71*(1+EarningsRate))</f>
        <v>1839.1864541709156</v>
      </c>
      <c r="U71" s="29">
        <f>'FF Deposit'!U71+IF(Components!V71&gt;0,T71-Components!V71,T71*(1+EarningsRate))</f>
        <v>2788.5371939705792</v>
      </c>
      <c r="V71" s="29">
        <f>'FF Deposit'!V71+IF(Components!W71&gt;0,U71-Components!W71,U71*(1+EarningsRate))</f>
        <v>3757.8242993060358</v>
      </c>
      <c r="W71" s="29">
        <f>'FF Deposit'!W71+IF(Components!X71&gt;0,V71-Components!X71,V71*(1+EarningsRate))</f>
        <v>4747.4664338535367</v>
      </c>
      <c r="X71" s="29">
        <f>'FF Deposit'!X71+IF(Components!Y71&gt;0,W71-Components!Y71,W71*(1+EarningsRate))</f>
        <v>5757.8910532265345</v>
      </c>
      <c r="Y71" s="29">
        <f>'FF Deposit'!Y71+IF(Components!Z71&gt;0,X71-Components!Z71,X71*(1+EarningsRate))</f>
        <v>6789.5345896063654</v>
      </c>
      <c r="Z71" s="29">
        <f>'FF Deposit'!Z71+IF(Components!AA71&gt;0,Y71-Components!AA71,Y71*(1+EarningsRate))</f>
        <v>7842.8426402501727</v>
      </c>
      <c r="AA71" s="29">
        <f>'FF Deposit'!AA71+IF(Components!AB71&gt;0,Z71-Components!AB71,Z71*(1+EarningsRate))</f>
        <v>8918.2701599574993</v>
      </c>
      <c r="AB71" s="29">
        <f>'FF Deposit'!AB71+IF(Components!AC71&gt;0,AA71-Components!AC71,AA71*(1+EarningsRate))</f>
        <v>10016.28165757868</v>
      </c>
      <c r="AC71" s="29">
        <f>'FF Deposit'!AC71+IF(Components!AD71&gt;0,AB71-Components!AD71,AB71*(1+EarningsRate))</f>
        <v>11137.351396649905</v>
      </c>
      <c r="AD71" s="29">
        <f>'FF Deposit'!AD71+IF(Components!AE71&gt;0,AC71-Components!AE71,AC71*(1+EarningsRate))</f>
        <v>12281.963600241626</v>
      </c>
      <c r="AE71" s="29">
        <f>'FF Deposit'!AE71+IF(Components!AF71&gt;0,AD71-Components!AF71,AD71*(1+EarningsRate))</f>
        <v>13450.612660108774</v>
      </c>
      <c r="AF71" s="29">
        <f>'FF Deposit'!AF71+IF(Components!AG71&gt;0,AE71-Components!AG71,AE71*(1+EarningsRate))</f>
        <v>14643.803350233131</v>
      </c>
      <c r="AG71" s="29">
        <f>'FF Deposit'!AG71+IF(Components!AH71&gt;0,AF71-Components!AH71,AF71*(1+EarningsRate))</f>
        <v>15862.051044850099</v>
      </c>
      <c r="AH71" s="29">
        <f>'FF Deposit'!AH71+IF(Components!AI71&gt;0,AG71-Components!AI71,AG71*(1+EarningsRate))</f>
        <v>1522.945746710677</v>
      </c>
      <c r="AI71" s="29">
        <f>'FF Deposit'!AI71+IF(Components!AJ71&gt;0,AH71-Components!AJ71,AH71*(1+EarningsRate))</f>
        <v>3080.8223092521789</v>
      </c>
      <c r="AJ71" s="29">
        <f>'FF Deposit'!AJ71+IF(Components!AK71&gt;0,AI71-Components!AK71,AI71*(1+EarningsRate))</f>
        <v>4671.4142796070519</v>
      </c>
      <c r="AK71" s="29">
        <f>'FF Deposit'!AK71+IF(Components!AL71&gt;0,AJ71-Components!AL71,AJ71*(1+EarningsRate))</f>
        <v>6295.4086813393769</v>
      </c>
      <c r="AL71" s="29">
        <f>'FF Deposit'!AL71+IF(Components!AM71&gt;0,AK71-Components!AM71,AK71*(1+EarningsRate))</f>
        <v>7953.5069655080806</v>
      </c>
      <c r="AM71" s="29">
        <f>'FF Deposit'!AM71+IF(Components!AN71&gt;0,AL71-Components!AN71,AL71*(1+EarningsRate))</f>
        <v>9646.4253136443276</v>
      </c>
      <c r="AN71" s="29">
        <f>'FF Deposit'!AN71+IF(Components!AO71&gt;0,AM71-Components!AO71,AM71*(1+EarningsRate))</f>
        <v>11374.894947091436</v>
      </c>
      <c r="AO71" s="29">
        <f>'FF Deposit'!AO71+IF(Components!AP71&gt;0,AN71-Components!AP71,AN71*(1+EarningsRate))</f>
        <v>13139.662442840932</v>
      </c>
      <c r="AP71" s="53"/>
    </row>
    <row r="72" spans="1:42" s="1" customFormat="1">
      <c r="A72" s="220" t="str">
        <f>Components!B72</f>
        <v>Pools</v>
      </c>
      <c r="B72" s="220" t="str">
        <f>Components!C72</f>
        <v>Condensing Coil Pool</v>
      </c>
      <c r="C72" s="211"/>
      <c r="D72" s="211"/>
      <c r="E72" s="82">
        <f>AnalysisYear-Components!I72-Components!J72</f>
        <v>8</v>
      </c>
      <c r="F72" s="82">
        <f>IF(H72&lt;0,Components!K72-MOD(AnalysisYear-Components!I72-Components!J72,Components!K72),AnalysisYear-Components!I72-Components!J72)</f>
        <v>8</v>
      </c>
      <c r="G72" s="11">
        <f>ROUND(Components!H72*IF(H72&lt;0,((1+InflationRate)^F72),((1+InflationRate)^H72)),0)</f>
        <v>7887</v>
      </c>
      <c r="H72" s="82">
        <f>IF(E72&gt;=0,Components!K72-E72,E72)</f>
        <v>7</v>
      </c>
      <c r="I72" s="82"/>
      <c r="J72" s="211"/>
      <c r="K72" s="29">
        <f>IF($H72&gt;0,FV(EarningsRate,F72,-'FF Deposit'!L72,1),Components!$H72)</f>
        <v>3898.8086715225227</v>
      </c>
      <c r="L72" s="29">
        <f>'FF Deposit'!L72+IF(Components!M72&gt;0,K72-Components!M72,K72*(1+EarningsRate))</f>
        <v>4433.4676648517789</v>
      </c>
      <c r="M72" s="29">
        <f>'FF Deposit'!M72+IF(Components!N72&gt;0,L72-Components!N72,L72*(1+EarningsRate))</f>
        <v>4979.3544970409494</v>
      </c>
      <c r="N72" s="29">
        <f>'FF Deposit'!N72+IF(Components!O72&gt;0,M72-Components!O72,M72*(1+EarningsRate))</f>
        <v>5536.7049527060926</v>
      </c>
      <c r="O72" s="29">
        <f>'FF Deposit'!O72+IF(Components!P72&gt;0,N72-Components!P72,N72*(1+EarningsRate))</f>
        <v>6105.7597679402033</v>
      </c>
      <c r="P72" s="29">
        <f>'FF Deposit'!P72+IF(Components!Q72&gt;0,O72-Components!Q72,O72*(1+EarningsRate))</f>
        <v>6686.76473429423</v>
      </c>
      <c r="Q72" s="29">
        <f>'FF Deposit'!Q72+IF(Components!R72&gt;0,P72-Components!R72,P72*(1+EarningsRate))</f>
        <v>7279.9708049416913</v>
      </c>
      <c r="R72" s="29">
        <f>'FF Deposit'!R72+IF(Components!S72&gt;0,Q72-Components!S72,Q72*(1+EarningsRate))</f>
        <v>7885.6342030727492</v>
      </c>
      <c r="S72" s="29">
        <f>'FF Deposit'!S72+IF(Components!T72&gt;0,R72-Components!T72,R72*(1+EarningsRate))</f>
        <v>757.20536686565038</v>
      </c>
      <c r="T72" s="29">
        <f>'FF Deposit'!T72+IF(Components!U72&gt;0,S72-Components!U72,S72*(1+EarningsRate))</f>
        <v>1531.6778433627301</v>
      </c>
      <c r="U72" s="29">
        <f>'FF Deposit'!U72+IF(Components!V72&gt;0,T72-Components!V72,T72*(1+EarningsRate))</f>
        <v>2322.4142418662486</v>
      </c>
      <c r="V72" s="29">
        <f>'FF Deposit'!V72+IF(Components!W72&gt;0,U72-Components!W72,U72*(1+EarningsRate))</f>
        <v>3129.756104738341</v>
      </c>
      <c r="W72" s="29">
        <f>'FF Deposit'!W72+IF(Components!X72&gt;0,V72-Components!X72,V72*(1+EarningsRate))</f>
        <v>3954.0521467307472</v>
      </c>
      <c r="X72" s="29">
        <f>'FF Deposit'!X72+IF(Components!Y72&gt;0,W72-Components!Y72,W72*(1+EarningsRate))</f>
        <v>4795.6584056049942</v>
      </c>
      <c r="Y72" s="29">
        <f>'FF Deposit'!Y72+IF(Components!Z72&gt;0,X72-Components!Z72,X72*(1+EarningsRate))</f>
        <v>5654.9383959156003</v>
      </c>
      <c r="Z72" s="29">
        <f>'FF Deposit'!Z72+IF(Components!AA72&gt;0,Y72-Components!AA72,Y72*(1+EarningsRate))</f>
        <v>6532.2632660227282</v>
      </c>
      <c r="AA72" s="29">
        <f>'FF Deposit'!AA72+IF(Components!AB72&gt;0,Z72-Components!AB72,Z72*(1+EarningsRate))</f>
        <v>7428.0119584021068</v>
      </c>
      <c r="AB72" s="29">
        <f>'FF Deposit'!AB72+IF(Components!AC72&gt;0,AA72-Components!AC72,AA72*(1+EarningsRate))</f>
        <v>8342.5713733214507</v>
      </c>
      <c r="AC72" s="29">
        <f>'FF Deposit'!AC72+IF(Components!AD72&gt;0,AB72-Components!AD72,AB72*(1+EarningsRate))</f>
        <v>9276.3365359541021</v>
      </c>
      <c r="AD72" s="29">
        <f>'FF Deposit'!AD72+IF(Components!AE72&gt;0,AC72-Components!AE72,AC72*(1+EarningsRate))</f>
        <v>10229.71076700204</v>
      </c>
      <c r="AE72" s="29">
        <f>'FF Deposit'!AE72+IF(Components!AF72&gt;0,AD72-Components!AF72,AD72*(1+EarningsRate))</f>
        <v>11203.105856901982</v>
      </c>
      <c r="AF72" s="29">
        <f>'FF Deposit'!AF72+IF(Components!AG72&gt;0,AE72-Components!AG72,AE72*(1+EarningsRate))</f>
        <v>12196.942243689824</v>
      </c>
      <c r="AG72" s="29">
        <f>'FF Deposit'!AG72+IF(Components!AH72&gt;0,AF72-Components!AH72,AF72*(1+EarningsRate))</f>
        <v>13211.649194600212</v>
      </c>
      <c r="AH72" s="29">
        <f>'FF Deposit'!AH72+IF(Components!AI72&gt;0,AG72-Components!AI72,AG72*(1+EarningsRate))</f>
        <v>1268.570883247276</v>
      </c>
      <c r="AI72" s="29">
        <f>'FF Deposit'!AI72+IF(Components!AJ72&gt;0,AH72-Components!AJ72,AH72*(1+EarningsRate))</f>
        <v>2566.1325604425328</v>
      </c>
      <c r="AJ72" s="29">
        <f>'FF Deposit'!AJ72+IF(Components!AK72&gt;0,AI72-Components!AK72,AI72*(1+EarningsRate))</f>
        <v>3890.9430328588901</v>
      </c>
      <c r="AK72" s="29">
        <f>'FF Deposit'!AK72+IF(Components!AL72&gt;0,AJ72-Components!AL72,AJ72*(1+EarningsRate))</f>
        <v>5243.5745251959906</v>
      </c>
      <c r="AL72" s="29">
        <f>'FF Deposit'!AL72+IF(Components!AM72&gt;0,AK72-Components!AM72,AK72*(1+EarningsRate))</f>
        <v>6624.6112788721712</v>
      </c>
      <c r="AM72" s="29">
        <f>'FF Deposit'!AM72+IF(Components!AN72&gt;0,AL72-Components!AN72,AL72*(1+EarningsRate))</f>
        <v>8034.649804375551</v>
      </c>
      <c r="AN72" s="29">
        <f>'FF Deposit'!AN72+IF(Components!AO72&gt;0,AM72-Components!AO72,AM72*(1+EarningsRate))</f>
        <v>9474.2991389145009</v>
      </c>
      <c r="AO72" s="29">
        <f>'FF Deposit'!AO72+IF(Components!AP72&gt;0,AN72-Components!AP72,AN72*(1+EarningsRate))</f>
        <v>10944.181109478768</v>
      </c>
      <c r="AP72" s="53"/>
    </row>
    <row r="73" spans="1:42" s="1" customFormat="1">
      <c r="A73" s="220" t="str">
        <f>Components!B73</f>
        <v>Pools</v>
      </c>
      <c r="B73" s="220" t="str">
        <f>Components!C73</f>
        <v>Deck, indoor pool, multi-layered surface</v>
      </c>
      <c r="C73" s="211"/>
      <c r="D73" s="211"/>
      <c r="E73" s="82">
        <f>AnalysisYear-Components!I73-Components!J73</f>
        <v>8</v>
      </c>
      <c r="F73" s="82">
        <f>IF(H73&lt;0,Components!K73-MOD(AnalysisYear-Components!I73-Components!J73,Components!K73),AnalysisYear-Components!I73-Components!J73)</f>
        <v>8</v>
      </c>
      <c r="G73" s="11">
        <f>ROUND(Components!H73*IF(H73&lt;0,((1+InflationRate)^F73),((1+InflationRate)^H73)),0)</f>
        <v>86708</v>
      </c>
      <c r="H73" s="82">
        <f>IF(E73&gt;=0,Components!K73-E73,E73)</f>
        <v>12</v>
      </c>
      <c r="I73" s="82"/>
      <c r="J73" s="211"/>
      <c r="K73" s="29">
        <f>IF($H73&gt;0,FV(EarningsRate,F73,-'FF Deposit'!L73,1),Components!$H73)</f>
        <v>30431.694771960832</v>
      </c>
      <c r="L73" s="29">
        <f>'FF Deposit'!L73+IF(Components!M73&gt;0,K73-Components!M73,K73*(1+EarningsRate))</f>
        <v>34603.979958639153</v>
      </c>
      <c r="M73" s="29">
        <f>'FF Deposit'!M73+IF(Components!N73&gt;0,L73-Components!N73,L73*(1+EarningsRate))</f>
        <v>38863.883134237723</v>
      </c>
      <c r="N73" s="29">
        <f>'FF Deposit'!N73+IF(Components!O73&gt;0,M73-Components!O73,M73*(1+EarningsRate))</f>
        <v>43213.244276523859</v>
      </c>
      <c r="O73" s="29">
        <f>'FF Deposit'!O73+IF(Components!P73&gt;0,N73-Components!P73,N73*(1+EarningsRate))</f>
        <v>47653.942002798001</v>
      </c>
      <c r="P73" s="29">
        <f>'FF Deposit'!P73+IF(Components!Q73&gt;0,O73-Components!Q73,O73*(1+EarningsRate))</f>
        <v>52187.894381323902</v>
      </c>
      <c r="Q73" s="29">
        <f>'FF Deposit'!Q73+IF(Components!R73&gt;0,P73-Components!R73,P73*(1+EarningsRate))</f>
        <v>56817.059759798845</v>
      </c>
      <c r="R73" s="29">
        <f>'FF Deposit'!R73+IF(Components!S73&gt;0,Q73-Components!S73,Q73*(1+EarningsRate))</f>
        <v>61543.437611221765</v>
      </c>
      <c r="S73" s="29">
        <f>'FF Deposit'!S73+IF(Components!T73&gt;0,R73-Components!T73,R73*(1+EarningsRate))</f>
        <v>66369.069397524567</v>
      </c>
      <c r="T73" s="29">
        <f>'FF Deposit'!T73+IF(Components!U73&gt;0,S73-Components!U73,S73*(1+EarningsRate))</f>
        <v>71296.039451339719</v>
      </c>
      <c r="U73" s="29">
        <f>'FF Deposit'!U73+IF(Components!V73&gt;0,T73-Components!V73,T73*(1+EarningsRate))</f>
        <v>76326.475876284981</v>
      </c>
      <c r="V73" s="29">
        <f>'FF Deposit'!V73+IF(Components!W73&gt;0,U73-Components!W73,U73*(1+EarningsRate))</f>
        <v>81462.551466154095</v>
      </c>
      <c r="W73" s="29">
        <f>'FF Deposit'!W73+IF(Components!X73&gt;0,V73-Components!X73,V73*(1+EarningsRate))</f>
        <v>86706.484643410469</v>
      </c>
      <c r="X73" s="29">
        <f>'FF Deposit'!X73+IF(Components!Y73&gt;0,W73-Components!Y73,W73*(1+EarningsRate))</f>
        <v>7028.8456486400746</v>
      </c>
      <c r="Y73" s="29">
        <f>'FF Deposit'!Y73+IF(Components!Z73&gt;0,X73-Components!Z73,X73*(1+EarningsRate))</f>
        <v>14206.812412491121</v>
      </c>
      <c r="Z73" s="29">
        <f>'FF Deposit'!Z73+IF(Components!AA73&gt;0,Y73-Components!AA73,Y73*(1+EarningsRate))</f>
        <v>21535.516478383037</v>
      </c>
      <c r="AA73" s="29">
        <f>'FF Deposit'!AA73+IF(Components!AB73&gt;0,Z73-Components!AB73,Z73*(1+EarningsRate))</f>
        <v>29018.123329658683</v>
      </c>
      <c r="AB73" s="29">
        <f>'FF Deposit'!AB73+IF(Components!AC73&gt;0,AA73-Components!AC73,AA73*(1+EarningsRate))</f>
        <v>36657.864924811118</v>
      </c>
      <c r="AC73" s="29">
        <f>'FF Deposit'!AC73+IF(Components!AD73&gt;0,AB73-Components!AD73,AB73*(1+EarningsRate))</f>
        <v>44458.041093461754</v>
      </c>
      <c r="AD73" s="29">
        <f>'FF Deposit'!AD73+IF(Components!AE73&gt;0,AC73-Components!AE73,AC73*(1+EarningsRate))</f>
        <v>52422.020961654052</v>
      </c>
      <c r="AE73" s="29">
        <f>'FF Deposit'!AE73+IF(Components!AF73&gt;0,AD73-Components!AF73,AD73*(1+EarningsRate))</f>
        <v>60553.244407078389</v>
      </c>
      <c r="AF73" s="29">
        <f>'FF Deposit'!AF73+IF(Components!AG73&gt;0,AE73-Components!AG73,AE73*(1+EarningsRate))</f>
        <v>68855.223544856635</v>
      </c>
      <c r="AG73" s="29">
        <f>'FF Deposit'!AG73+IF(Components!AH73&gt;0,AF73-Components!AH73,AF73*(1+EarningsRate))</f>
        <v>77331.544244528224</v>
      </c>
      <c r="AH73" s="29">
        <f>'FF Deposit'!AH73+IF(Components!AI73&gt;0,AG73-Components!AI73,AG73*(1+EarningsRate))</f>
        <v>85985.867678892915</v>
      </c>
      <c r="AI73" s="29">
        <f>'FF Deposit'!AI73+IF(Components!AJ73&gt;0,AH73-Components!AJ73,AH73*(1+EarningsRate))</f>
        <v>94821.931905379257</v>
      </c>
      <c r="AJ73" s="29">
        <f>'FF Deposit'!AJ73+IF(Components!AK73&gt;0,AI73-Components!AK73,AI73*(1+EarningsRate))</f>
        <v>103843.55348062181</v>
      </c>
      <c r="AK73" s="29">
        <f>'FF Deposit'!AK73+IF(Components!AL73&gt;0,AJ73-Components!AL73,AJ73*(1+EarningsRate))</f>
        <v>113054.62910894446</v>
      </c>
      <c r="AL73" s="29">
        <f>'FF Deposit'!AL73+IF(Components!AM73&gt;0,AK73-Components!AM73,AK73*(1+EarningsRate))</f>
        <v>122459.13732546188</v>
      </c>
      <c r="AM73" s="29">
        <f>'FF Deposit'!AM73+IF(Components!AN73&gt;0,AL73-Components!AN73,AL73*(1+EarningsRate))</f>
        <v>132061.14021452618</v>
      </c>
      <c r="AN73" s="29">
        <f>'FF Deposit'!AN73+IF(Components!AO73&gt;0,AM73-Components!AO73,AM73*(1+EarningsRate))</f>
        <v>141864.78516426083</v>
      </c>
      <c r="AO73" s="29">
        <f>'FF Deposit'!AO73+IF(Components!AP73&gt;0,AN73-Components!AP73,AN73*(1+EarningsRate))</f>
        <v>151874.30665793992</v>
      </c>
      <c r="AP73" s="53"/>
    </row>
    <row r="74" spans="1:42" s="1" customFormat="1">
      <c r="A74" s="220" t="str">
        <f>Components!B74</f>
        <v>Pools</v>
      </c>
      <c r="B74" s="220" t="str">
        <f>Components!C74</f>
        <v>Deck, outdoor pool, colored concrete</v>
      </c>
      <c r="C74" s="211"/>
      <c r="D74" s="211"/>
      <c r="E74" s="82">
        <f>AnalysisYear-Components!I74-Components!J74</f>
        <v>8</v>
      </c>
      <c r="F74" s="82">
        <f>IF(H74&lt;0,Components!K74-MOD(AnalysisYear-Components!I74-Components!J74,Components!K74),AnalysisYear-Components!I74-Components!J74)</f>
        <v>8</v>
      </c>
      <c r="G74" s="11">
        <f>ROUND(Components!H74*IF(H74&lt;0,((1+InflationRate)^F74),((1+InflationRate)^H74)),0)</f>
        <v>20663</v>
      </c>
      <c r="H74" s="82">
        <f>IF(E74&gt;=0,Components!K74-E74,E74)</f>
        <v>12</v>
      </c>
      <c r="I74" s="82"/>
      <c r="J74" s="211"/>
      <c r="K74" s="29">
        <f>IF($H74&gt;0,FV(EarningsRate,F74,-'FF Deposit'!L74,1),Components!$H74)</f>
        <v>7251.1431220071227</v>
      </c>
      <c r="L74" s="29">
        <f>'FF Deposit'!L74+IF(Components!M74&gt;0,K74-Components!M74,K74*(1+EarningsRate))</f>
        <v>8245.4030633745097</v>
      </c>
      <c r="M74" s="29">
        <f>'FF Deposit'!M74+IF(Components!N74&gt;0,L74-Components!N74,L74*(1+EarningsRate))</f>
        <v>9260.5424635106119</v>
      </c>
      <c r="N74" s="29">
        <f>'FF Deposit'!N74+IF(Components!O74&gt;0,M74-Components!O74,M74*(1+EarningsRate))</f>
        <v>10296.999791049571</v>
      </c>
      <c r="O74" s="29">
        <f>'FF Deposit'!O74+IF(Components!P74&gt;0,N74-Components!P74,N74*(1+EarningsRate))</f>
        <v>11355.22272246685</v>
      </c>
      <c r="P74" s="29">
        <f>'FF Deposit'!P74+IF(Components!Q74&gt;0,O74-Components!Q74,O74*(1+EarningsRate))</f>
        <v>12435.66833544389</v>
      </c>
      <c r="Q74" s="29">
        <f>'FF Deposit'!Q74+IF(Components!R74&gt;0,P74-Components!R74,P74*(1+EarningsRate))</f>
        <v>13538.803306293448</v>
      </c>
      <c r="R74" s="29">
        <f>'FF Deposit'!R74+IF(Components!S74&gt;0,Q74-Components!S74,Q74*(1+EarningsRate))</f>
        <v>14665.104111530847</v>
      </c>
      <c r="S74" s="29">
        <f>'FF Deposit'!S74+IF(Components!T74&gt;0,R74-Components!T74,R74*(1+EarningsRate))</f>
        <v>15815.057233678232</v>
      </c>
      <c r="T74" s="29">
        <f>'FF Deposit'!T74+IF(Components!U74&gt;0,S74-Components!U74,S74*(1+EarningsRate))</f>
        <v>16989.159371390713</v>
      </c>
      <c r="U74" s="29">
        <f>'FF Deposit'!U74+IF(Components!V74&gt;0,T74-Components!V74,T74*(1+EarningsRate))</f>
        <v>18187.917653995155</v>
      </c>
      <c r="V74" s="29">
        <f>'FF Deposit'!V74+IF(Components!W74&gt;0,U74-Components!W74,U74*(1+EarningsRate))</f>
        <v>19411.84986053429</v>
      </c>
      <c r="W74" s="29">
        <f>'FF Deposit'!W74+IF(Components!X74&gt;0,V74-Components!X74,V74*(1+EarningsRate))</f>
        <v>20661.484643410746</v>
      </c>
      <c r="X74" s="29">
        <f>'FF Deposit'!X74+IF(Components!Y74&gt;0,W74-Components!Y74,W74*(1+EarningsRate))</f>
        <v>1673.8588816708755</v>
      </c>
      <c r="Y74" s="29">
        <f>'FF Deposit'!Y74+IF(Components!Z74&gt;0,X74-Components!Z74,X74*(1+EarningsRate))</f>
        <v>3384.3841564460936</v>
      </c>
      <c r="Z74" s="29">
        <f>'FF Deposit'!Z74+IF(Components!AA74&gt;0,Y74-Components!AA74,Y74*(1+EarningsRate))</f>
        <v>5130.8304619915907</v>
      </c>
      <c r="AA74" s="29">
        <f>'FF Deposit'!AA74+IF(Components!AB74&gt;0,Z74-Components!AB74,Z74*(1+EarningsRate))</f>
        <v>6913.9521399535433</v>
      </c>
      <c r="AB74" s="29">
        <f>'FF Deposit'!AB74+IF(Components!AC74&gt;0,AA74-Components!AC74,AA74*(1+EarningsRate))</f>
        <v>8734.5193731526979</v>
      </c>
      <c r="AC74" s="29">
        <f>'FF Deposit'!AC74+IF(Components!AD74&gt;0,AB74-Components!AD74,AB74*(1+EarningsRate))</f>
        <v>10593.318518249034</v>
      </c>
      <c r="AD74" s="29">
        <f>'FF Deposit'!AD74+IF(Components!AE74&gt;0,AC74-Components!AE74,AC74*(1+EarningsRate))</f>
        <v>12491.152445392394</v>
      </c>
      <c r="AE74" s="29">
        <f>'FF Deposit'!AE74+IF(Components!AF74&gt;0,AD74-Components!AF74,AD74*(1+EarningsRate))</f>
        <v>14428.840885005764</v>
      </c>
      <c r="AF74" s="29">
        <f>'FF Deposit'!AF74+IF(Components!AG74&gt;0,AE74-Components!AG74,AE74*(1+EarningsRate))</f>
        <v>16407.220781851014</v>
      </c>
      <c r="AG74" s="29">
        <f>'FF Deposit'!AG74+IF(Components!AH74&gt;0,AF74-Components!AH74,AF74*(1+EarningsRate))</f>
        <v>18427.146656530014</v>
      </c>
      <c r="AH74" s="29">
        <f>'FF Deposit'!AH74+IF(Components!AI74&gt;0,AG74-Components!AI74,AG74*(1+EarningsRate))</f>
        <v>20489.490974577275</v>
      </c>
      <c r="AI74" s="29">
        <f>'FF Deposit'!AI74+IF(Components!AJ74&gt;0,AH74-Components!AJ74,AH74*(1+EarningsRate))</f>
        <v>22595.144523303527</v>
      </c>
      <c r="AJ74" s="29">
        <f>'FF Deposit'!AJ74+IF(Components!AK74&gt;0,AI74-Components!AK74,AI74*(1+EarningsRate))</f>
        <v>24745.016796553027</v>
      </c>
      <c r="AK74" s="29">
        <f>'FF Deposit'!AK74+IF(Components!AL74&gt;0,AJ74-Components!AL74,AJ74*(1+EarningsRate))</f>
        <v>26940.036387540767</v>
      </c>
      <c r="AL74" s="29">
        <f>'FF Deposit'!AL74+IF(Components!AM74&gt;0,AK74-Components!AM74,AK74*(1+EarningsRate))</f>
        <v>29181.151389939252</v>
      </c>
      <c r="AM74" s="29">
        <f>'FF Deposit'!AM74+IF(Components!AN74&gt;0,AL74-Components!AN74,AL74*(1+EarningsRate))</f>
        <v>31469.329807388105</v>
      </c>
      <c r="AN74" s="29">
        <f>'FF Deposit'!AN74+IF(Components!AO74&gt;0,AM74-Components!AO74,AM74*(1+EarningsRate))</f>
        <v>33805.559971603383</v>
      </c>
      <c r="AO74" s="29">
        <f>'FF Deposit'!AO74+IF(Components!AP74&gt;0,AN74-Components!AP74,AN74*(1+EarningsRate))</f>
        <v>36190.85096926718</v>
      </c>
      <c r="AP74" s="53"/>
    </row>
    <row r="75" spans="1:42" s="1" customFormat="1">
      <c r="A75" s="220" t="str">
        <f>Components!B75</f>
        <v>Pools</v>
      </c>
      <c r="B75" s="220" t="str">
        <f>Components!C75</f>
        <v>Evaporative Coil Pool</v>
      </c>
      <c r="C75" s="211"/>
      <c r="D75" s="211"/>
      <c r="E75" s="82">
        <f>AnalysisYear-Components!I75-Components!J75</f>
        <v>8</v>
      </c>
      <c r="F75" s="82">
        <f>IF(H75&lt;0,Components!K75-MOD(AnalysisYear-Components!I75-Components!J75,Components!K75),AnalysisYear-Components!I75-Components!J75)</f>
        <v>8</v>
      </c>
      <c r="G75" s="11">
        <f>ROUND(Components!H75*IF(H75&lt;0,((1+InflationRate)^F75),((1+InflationRate)^H75)),0)</f>
        <v>10783</v>
      </c>
      <c r="H75" s="82">
        <f>IF(E75&gt;=0,Components!K75-E75,E75)</f>
        <v>7</v>
      </c>
      <c r="I75" s="82"/>
      <c r="J75" s="211"/>
      <c r="K75" s="29">
        <f>IF($H75&gt;0,FV(EarningsRate,F75,-'FF Deposit'!L75,1),Components!$H75)</f>
        <v>5330.8322219908487</v>
      </c>
      <c r="L75" s="29">
        <f>'FF Deposit'!L75+IF(Components!M75&gt;0,K75-Components!M75,K75*(1+EarningsRate))</f>
        <v>6061.8198904954097</v>
      </c>
      <c r="M75" s="29">
        <f>'FF Deposit'!M75+IF(Components!N75&gt;0,L75-Components!N75,L75*(1+EarningsRate))</f>
        <v>6808.1583000385663</v>
      </c>
      <c r="N75" s="29">
        <f>'FF Deposit'!N75+IF(Components!O75&gt;0,M75-Components!O75,M75*(1+EarningsRate))</f>
        <v>7570.1698161821287</v>
      </c>
      <c r="O75" s="29">
        <f>'FF Deposit'!O75+IF(Components!P75&gt;0,N75-Components!P75,N75*(1+EarningsRate))</f>
        <v>8348.1835741647046</v>
      </c>
      <c r="P75" s="29">
        <f>'FF Deposit'!P75+IF(Components!Q75&gt;0,O75-Components!Q75,O75*(1+EarningsRate))</f>
        <v>9142.5356210649152</v>
      </c>
      <c r="Q75" s="29">
        <f>'FF Deposit'!Q75+IF(Components!R75&gt;0,P75-Components!R75,P75*(1+EarningsRate))</f>
        <v>9953.5690609500307</v>
      </c>
      <c r="R75" s="29">
        <f>'FF Deposit'!R75+IF(Components!S75&gt;0,Q75-Components!S75,Q75*(1+EarningsRate))</f>
        <v>10781.634203072732</v>
      </c>
      <c r="S75" s="29">
        <f>'FF Deposit'!S75+IF(Components!T75&gt;0,R75-Components!T75,R75*(1+EarningsRate))</f>
        <v>1035.7424646650807</v>
      </c>
      <c r="T75" s="29">
        <f>'FF Deposit'!T75+IF(Components!U75&gt;0,S75-Components!U75,S75*(1+EarningsRate))</f>
        <v>2094.6013180153959</v>
      </c>
      <c r="U75" s="29">
        <f>'FF Deposit'!U75+IF(Components!V75&gt;0,T75-Components!V75,T75*(1+EarningsRate))</f>
        <v>3175.6962072860679</v>
      </c>
      <c r="V75" s="29">
        <f>'FF Deposit'!V75+IF(Components!W75&gt;0,U75-Components!W75,U75*(1+EarningsRate))</f>
        <v>4279.4940892314244</v>
      </c>
      <c r="W75" s="29">
        <f>'FF Deposit'!W75+IF(Components!X75&gt;0,V75-Components!X75,V75*(1+EarningsRate))</f>
        <v>5406.4717266976322</v>
      </c>
      <c r="X75" s="29">
        <f>'FF Deposit'!X75+IF(Components!Y75&gt;0,W75-Components!Y75,W75*(1+EarningsRate))</f>
        <v>6557.1158945506304</v>
      </c>
      <c r="Y75" s="29">
        <f>'FF Deposit'!Y75+IF(Components!Z75&gt;0,X75-Components!Z75,X75*(1+EarningsRate))</f>
        <v>7731.9235899285422</v>
      </c>
      <c r="Z75" s="29">
        <f>'FF Deposit'!Z75+IF(Components!AA75&gt;0,Y75-Components!AA75,Y75*(1+EarningsRate))</f>
        <v>8931.4022469093907</v>
      </c>
      <c r="AA75" s="29">
        <f>'FF Deposit'!AA75+IF(Components!AB75&gt;0,Z75-Components!AB75,Z75*(1+EarningsRate))</f>
        <v>10156.069955686835</v>
      </c>
      <c r="AB75" s="29">
        <f>'FF Deposit'!AB75+IF(Components!AC75&gt;0,AA75-Components!AC75,AA75*(1+EarningsRate))</f>
        <v>11406.455686348607</v>
      </c>
      <c r="AC75" s="29">
        <f>'FF Deposit'!AC75+IF(Components!AD75&gt;0,AB75-Components!AD75,AB75*(1+EarningsRate))</f>
        <v>12683.099517354276</v>
      </c>
      <c r="AD75" s="29">
        <f>'FF Deposit'!AD75+IF(Components!AE75&gt;0,AC75-Components!AE75,AC75*(1+EarningsRate))</f>
        <v>13986.552868811064</v>
      </c>
      <c r="AE75" s="29">
        <f>'FF Deposit'!AE75+IF(Components!AF75&gt;0,AD75-Components!AF75,AD75*(1+EarningsRate))</f>
        <v>15317.378740648444</v>
      </c>
      <c r="AF75" s="29">
        <f>'FF Deposit'!AF75+IF(Components!AG75&gt;0,AE75-Components!AG75,AE75*(1+EarningsRate))</f>
        <v>16676.151955794408</v>
      </c>
      <c r="AG75" s="29">
        <f>'FF Deposit'!AG75+IF(Components!AH75&gt;0,AF75-Components!AH75,AF75*(1+EarningsRate))</f>
        <v>18063.459408458439</v>
      </c>
      <c r="AH75" s="29">
        <f>'FF Deposit'!AH75+IF(Components!AI75&gt;0,AG75-Components!AI75,AG75*(1+EarningsRate))</f>
        <v>1735.0461518440798</v>
      </c>
      <c r="AI75" s="29">
        <f>'FF Deposit'!AI75+IF(Components!AJ75&gt;0,AH75-Components!AJ75,AH75*(1+EarningsRate))</f>
        <v>3509.0688644184465</v>
      </c>
      <c r="AJ75" s="29">
        <f>'FF Deposit'!AJ75+IF(Components!AK75&gt;0,AI75-Components!AK75,AI75*(1+EarningsRate))</f>
        <v>5320.346053956875</v>
      </c>
      <c r="AK75" s="29">
        <f>'FF Deposit'!AK75+IF(Components!AL75&gt;0,AJ75-Components!AL75,AJ75*(1+EarningsRate))</f>
        <v>7169.6600644756099</v>
      </c>
      <c r="AL75" s="29">
        <f>'FF Deposit'!AL75+IF(Components!AM75&gt;0,AK75-Components!AM75,AK75*(1+EarningsRate))</f>
        <v>9057.8096692152394</v>
      </c>
      <c r="AM75" s="29">
        <f>'FF Deposit'!AM75+IF(Components!AN75&gt;0,AL75-Components!AN75,AL75*(1+EarningsRate))</f>
        <v>10985.610415654399</v>
      </c>
      <c r="AN75" s="29">
        <f>'FF Deposit'!AN75+IF(Components!AO75&gt;0,AM75-Components!AO75,AM75*(1+EarningsRate))</f>
        <v>12953.894977768781</v>
      </c>
      <c r="AO75" s="29">
        <f>'FF Deposit'!AO75+IF(Components!AP75&gt;0,AN75-Components!AP75,AN75*(1+EarningsRate))</f>
        <v>14963.513515687566</v>
      </c>
      <c r="AP75" s="53"/>
    </row>
    <row r="76" spans="1:42" s="1" customFormat="1">
      <c r="A76" s="220" t="str">
        <f>Components!B76</f>
        <v>Pools</v>
      </c>
      <c r="B76" s="220" t="str">
        <f>Components!C76</f>
        <v>Fence Outdoor Pool (metal)</v>
      </c>
      <c r="C76" s="211"/>
      <c r="D76" s="211"/>
      <c r="E76" s="82">
        <f>AnalysisYear-Components!I76-Components!J76</f>
        <v>7</v>
      </c>
      <c r="F76" s="82">
        <f>IF(H76&lt;0,Components!K76-MOD(AnalysisYear-Components!I76-Components!J76,Components!K76),AnalysisYear-Components!I76-Components!J76)</f>
        <v>7</v>
      </c>
      <c r="G76" s="11">
        <f>ROUND(Components!H76*IF(H76&lt;0,((1+InflationRate)^F76),((1+InflationRate)^H76)),0)</f>
        <v>35612</v>
      </c>
      <c r="H76" s="82">
        <f>IF(E76&gt;=0,Components!K76-E76,E76)</f>
        <v>13</v>
      </c>
      <c r="I76" s="82"/>
      <c r="J76" s="211"/>
      <c r="K76" s="29">
        <f>IF($H76&gt;0,FV(EarningsRate,F76,-'FF Deposit'!L76,1),Components!$H76)</f>
        <v>10819.613774815891</v>
      </c>
      <c r="L76" s="29">
        <f>'FF Deposit'!L76+IF(Components!M76&gt;0,K76-Components!M76,K76*(1+EarningsRate))</f>
        <v>12497.960695103631</v>
      </c>
      <c r="M76" s="29">
        <f>'FF Deposit'!M76+IF(Components!N76&gt;0,L76-Components!N76,L76*(1+EarningsRate))</f>
        <v>14211.552900717414</v>
      </c>
      <c r="N76" s="29">
        <f>'FF Deposit'!N76+IF(Components!O76&gt;0,M76-Components!O76,M76*(1+EarningsRate))</f>
        <v>15961.130542649085</v>
      </c>
      <c r="O76" s="29">
        <f>'FF Deposit'!O76+IF(Components!P76&gt;0,N76-Components!P76,N76*(1+EarningsRate))</f>
        <v>17747.449315061323</v>
      </c>
      <c r="P76" s="29">
        <f>'FF Deposit'!P76+IF(Components!Q76&gt;0,O76-Components!Q76,O76*(1+EarningsRate))</f>
        <v>19571.280781694219</v>
      </c>
      <c r="Q76" s="29">
        <f>'FF Deposit'!Q76+IF(Components!R76&gt;0,P76-Components!R76,P76*(1+EarningsRate))</f>
        <v>21433.412709126405</v>
      </c>
      <c r="R76" s="29">
        <f>'FF Deposit'!R76+IF(Components!S76&gt;0,Q76-Components!S76,Q76*(1+EarningsRate))</f>
        <v>23334.649407034667</v>
      </c>
      <c r="S76" s="29">
        <f>'FF Deposit'!S76+IF(Components!T76&gt;0,R76-Components!T76,R76*(1+EarningsRate))</f>
        <v>25275.812075599002</v>
      </c>
      <c r="T76" s="29">
        <f>'FF Deposit'!T76+IF(Components!U76&gt;0,S76-Components!U76,S76*(1+EarningsRate))</f>
        <v>27257.739160203189</v>
      </c>
      <c r="U76" s="29">
        <f>'FF Deposit'!U76+IF(Components!V76&gt;0,T76-Components!V76,T76*(1+EarningsRate))</f>
        <v>29281.286713584064</v>
      </c>
      <c r="V76" s="29">
        <f>'FF Deposit'!V76+IF(Components!W76&gt;0,U76-Components!W76,U76*(1+EarningsRate))</f>
        <v>31347.328765585935</v>
      </c>
      <c r="W76" s="29">
        <f>'FF Deposit'!W76+IF(Components!X76&gt;0,V76-Components!X76,V76*(1+EarningsRate))</f>
        <v>33456.757700679846</v>
      </c>
      <c r="X76" s="29">
        <f>'FF Deposit'!X76+IF(Components!Y76&gt;0,W76-Components!Y76,W76*(1+EarningsRate))</f>
        <v>35610.484643410731</v>
      </c>
      <c r="Y76" s="29">
        <f>'FF Deposit'!Y76+IF(Components!Z76&gt;0,X76-Components!Z76,X76*(1+EarningsRate))</f>
        <v>2885.9369675127373</v>
      </c>
      <c r="Z76" s="29">
        <f>'FF Deposit'!Z76+IF(Components!AA76&gt;0,Y76-Components!AA76,Y76*(1+EarningsRate))</f>
        <v>5833.9939679325107</v>
      </c>
      <c r="AA76" s="29">
        <f>'FF Deposit'!AA76+IF(Components!AB76&gt;0,Z76-Components!AB76,Z76*(1+EarningsRate))</f>
        <v>8843.9601653610989</v>
      </c>
      <c r="AB76" s="29">
        <f>'FF Deposit'!AB76+IF(Components!AC76&gt;0,AA76-Components!AC76,AA76*(1+EarningsRate))</f>
        <v>11917.135652935689</v>
      </c>
      <c r="AC76" s="29">
        <f>'FF Deposit'!AC76+IF(Components!AD76&gt;0,AB76-Components!AD76,AB76*(1+EarningsRate))</f>
        <v>15054.847825749344</v>
      </c>
      <c r="AD76" s="29">
        <f>'FF Deposit'!AD76+IF(Components!AE76&gt;0,AC76-Components!AE76,AC76*(1+EarningsRate))</f>
        <v>18258.451954192085</v>
      </c>
      <c r="AE76" s="29">
        <f>'FF Deposit'!AE76+IF(Components!AF76&gt;0,AD76-Components!AF76,AD76*(1+EarningsRate))</f>
        <v>21529.331769332126</v>
      </c>
      <c r="AF76" s="29">
        <f>'FF Deposit'!AF76+IF(Components!AG76&gt;0,AE76-Components!AG76,AE76*(1+EarningsRate))</f>
        <v>24868.900060590106</v>
      </c>
      <c r="AG76" s="29">
        <f>'FF Deposit'!AG76+IF(Components!AH76&gt;0,AF76-Components!AH76,AF76*(1+EarningsRate))</f>
        <v>28278.599285964501</v>
      </c>
      <c r="AH76" s="29">
        <f>'FF Deposit'!AH76+IF(Components!AI76&gt;0,AG76-Components!AI76,AG76*(1+EarningsRate))</f>
        <v>31759.902195071762</v>
      </c>
      <c r="AI76" s="29">
        <f>'FF Deposit'!AI76+IF(Components!AJ76&gt;0,AH76-Components!AJ76,AH76*(1+EarningsRate))</f>
        <v>35314.312465270268</v>
      </c>
      <c r="AJ76" s="29">
        <f>'FF Deposit'!AJ76+IF(Components!AK76&gt;0,AI76-Components!AK76,AI76*(1+EarningsRate))</f>
        <v>38943.365351142951</v>
      </c>
      <c r="AK76" s="29">
        <f>'FF Deposit'!AK76+IF(Components!AL76&gt;0,AJ76-Components!AL76,AJ76*(1+EarningsRate))</f>
        <v>42648.628347618956</v>
      </c>
      <c r="AL76" s="29">
        <f>'FF Deposit'!AL76+IF(Components!AM76&gt;0,AK76-Components!AM76,AK76*(1+EarningsRate))</f>
        <v>46431.701867020958</v>
      </c>
      <c r="AM76" s="29">
        <f>'FF Deposit'!AM76+IF(Components!AN76&gt;0,AL76-Components!AN76,AL76*(1+EarningsRate))</f>
        <v>50294.219930330401</v>
      </c>
      <c r="AN76" s="29">
        <f>'FF Deposit'!AN76+IF(Components!AO76&gt;0,AM76-Components!AO76,AM76*(1+EarningsRate))</f>
        <v>54237.850872969342</v>
      </c>
      <c r="AO76" s="29">
        <f>'FF Deposit'!AO76+IF(Components!AP76&gt;0,AN76-Components!AP76,AN76*(1+EarningsRate))</f>
        <v>58264.298065403702</v>
      </c>
      <c r="AP76" s="53"/>
    </row>
    <row r="77" spans="1:42" s="1" customFormat="1">
      <c r="A77" s="220" t="str">
        <f>Components!B77</f>
        <v>Pools</v>
      </c>
      <c r="B77" s="220" t="str">
        <f>Components!C77</f>
        <v>Indoor Pool Lighting</v>
      </c>
      <c r="C77" s="211"/>
      <c r="D77" s="211"/>
      <c r="E77" s="82">
        <f>AnalysisYear-Components!I77-Components!J77</f>
        <v>3</v>
      </c>
      <c r="F77" s="82">
        <f>IF(H77&lt;0,Components!K77-MOD(AnalysisYear-Components!I77-Components!J77,Components!K77),AnalysisYear-Components!I77-Components!J77)</f>
        <v>3</v>
      </c>
      <c r="G77" s="11">
        <f>ROUND(Components!H77*IF(H77&lt;0,((1+InflationRate)^F77),((1+InflationRate)^H77)),0)</f>
        <v>16458</v>
      </c>
      <c r="H77" s="82">
        <f>IF(E77&gt;=0,Components!K77-E77,E77)</f>
        <v>17</v>
      </c>
      <c r="I77" s="82"/>
      <c r="J77" s="211"/>
      <c r="K77" s="29">
        <f>IF($H77&gt;0,FV(EarningsRate,F77,-'FF Deposit'!L77,1),Components!$H77)</f>
        <v>2053.3973236132401</v>
      </c>
      <c r="L77" s="29">
        <f>'FF Deposit'!L77+IF(Components!M77&gt;0,K77-Components!M77,K77*(1+EarningsRate))</f>
        <v>2767.1572257734706</v>
      </c>
      <c r="M77" s="29">
        <f>'FF Deposit'!M77+IF(Components!N77&gt;0,L77-Components!N77,L77*(1+EarningsRate))</f>
        <v>3495.9060858790654</v>
      </c>
      <c r="N77" s="29">
        <f>'FF Deposit'!N77+IF(Components!O77&gt;0,M77-Components!O77,M77*(1+EarningsRate))</f>
        <v>4239.9586720468778</v>
      </c>
      <c r="O77" s="29">
        <f>'FF Deposit'!O77+IF(Components!P77&gt;0,N77-Components!P77,N77*(1+EarningsRate))</f>
        <v>4999.6363625242138</v>
      </c>
      <c r="P77" s="29">
        <f>'FF Deposit'!P77+IF(Components!Q77&gt;0,O77-Components!Q77,O77*(1+EarningsRate))</f>
        <v>5775.2672845015741</v>
      </c>
      <c r="Q77" s="29">
        <f>'FF Deposit'!Q77+IF(Components!R77&gt;0,P77-Components!R77,P77*(1+EarningsRate))</f>
        <v>6567.1864558404586</v>
      </c>
      <c r="R77" s="29">
        <f>'FF Deposit'!R77+IF(Components!S77&gt;0,Q77-Components!S77,Q77*(1+EarningsRate))</f>
        <v>7375.7359297774601</v>
      </c>
      <c r="S77" s="29">
        <f>'FF Deposit'!S77+IF(Components!T77&gt;0,R77-Components!T77,R77*(1+EarningsRate))</f>
        <v>8201.2649426671396</v>
      </c>
      <c r="T77" s="29">
        <f>'FF Deposit'!T77+IF(Components!U77&gt;0,S77-Components!U77,S77*(1+EarningsRate))</f>
        <v>9044.1300648275028</v>
      </c>
      <c r="U77" s="29">
        <f>'FF Deposit'!U77+IF(Components!V77&gt;0,T77-Components!V77,T77*(1+EarningsRate))</f>
        <v>9904.6953545532324</v>
      </c>
      <c r="V77" s="29">
        <f>'FF Deposit'!V77+IF(Components!W77&gt;0,U77-Components!W77,U77*(1+EarningsRate))</f>
        <v>10783.332515363203</v>
      </c>
      <c r="W77" s="29">
        <f>'FF Deposit'!W77+IF(Components!X77&gt;0,V77-Components!X77,V77*(1+EarningsRate))</f>
        <v>11680.421056550183</v>
      </c>
      <c r="X77" s="29">
        <f>'FF Deposit'!X77+IF(Components!Y77&gt;0,W77-Components!Y77,W77*(1+EarningsRate))</f>
        <v>12596.348457102089</v>
      </c>
      <c r="Y77" s="29">
        <f>'FF Deposit'!Y77+IF(Components!Z77&gt;0,X77-Components!Z77,X77*(1+EarningsRate))</f>
        <v>13531.510333065586</v>
      </c>
      <c r="Z77" s="29">
        <f>'FF Deposit'!Z77+IF(Components!AA77&gt;0,Y77-Components!AA77,Y77*(1+EarningsRate))</f>
        <v>14486.310608424315</v>
      </c>
      <c r="AA77" s="29">
        <f>'FF Deposit'!AA77+IF(Components!AB77&gt;0,Z77-Components!AB77,Z77*(1+EarningsRate))</f>
        <v>15461.161689565579</v>
      </c>
      <c r="AB77" s="29">
        <f>'FF Deposit'!AB77+IF(Components!AC77&gt;0,AA77-Components!AC77,AA77*(1+EarningsRate))</f>
        <v>16456.484643410808</v>
      </c>
      <c r="AC77" s="29">
        <f>'FF Deposit'!AC77+IF(Components!AD77&gt;0,AB77-Components!AD77,AB77*(1+EarningsRate))</f>
        <v>1332.913778254984</v>
      </c>
      <c r="AD77" s="29">
        <f>'FF Deposit'!AD77+IF(Components!AE77&gt;0,AC77-Components!AE77,AC77*(1+EarningsRate))</f>
        <v>2695.3341024425149</v>
      </c>
      <c r="AE77" s="29">
        <f>'FF Deposit'!AE77+IF(Components!AF77&gt;0,AD77-Components!AF77,AD77*(1+EarningsRate))</f>
        <v>4086.3652534379835</v>
      </c>
      <c r="AF77" s="29">
        <f>'FF Deposit'!AF77+IF(Components!AG77&gt;0,AE77-Components!AG77,AE77*(1+EarningsRate))</f>
        <v>5506.6080586043572</v>
      </c>
      <c r="AG77" s="29">
        <f>'FF Deposit'!AG77+IF(Components!AH77&gt;0,AF77-Components!AH77,AF77*(1+EarningsRate))</f>
        <v>6956.6759626792245</v>
      </c>
      <c r="AH77" s="29">
        <f>'FF Deposit'!AH77+IF(Components!AI77&gt;0,AG77-Components!AI77,AG77*(1+EarningsRate))</f>
        <v>8437.1952927396633</v>
      </c>
      <c r="AI77" s="29">
        <f>'FF Deposit'!AI77+IF(Components!AJ77&gt;0,AH77-Components!AJ77,AH77*(1+EarningsRate))</f>
        <v>9948.8055287313728</v>
      </c>
      <c r="AJ77" s="29">
        <f>'FF Deposit'!AJ77+IF(Components!AK77&gt;0,AI77-Components!AK77,AI77*(1+EarningsRate))</f>
        <v>11492.159579678908</v>
      </c>
      <c r="AK77" s="29">
        <f>'FF Deposit'!AK77+IF(Components!AL77&gt;0,AJ77-Components!AL77,AJ77*(1+EarningsRate))</f>
        <v>13067.924065696341</v>
      </c>
      <c r="AL77" s="29">
        <f>'FF Deposit'!AL77+IF(Components!AM77&gt;0,AK77-Components!AM77,AK77*(1+EarningsRate))</f>
        <v>14676.779605920139</v>
      </c>
      <c r="AM77" s="29">
        <f>'FF Deposit'!AM77+IF(Components!AN77&gt;0,AL77-Components!AN77,AL77*(1+EarningsRate))</f>
        <v>16319.421112488637</v>
      </c>
      <c r="AN77" s="29">
        <f>'FF Deposit'!AN77+IF(Components!AO77&gt;0,AM77-Components!AO77,AM77*(1+EarningsRate))</f>
        <v>17996.558090695074</v>
      </c>
      <c r="AO77" s="29">
        <f>'FF Deposit'!AO77+IF(Components!AP77&gt;0,AN77-Components!AP77,AN77*(1+EarningsRate))</f>
        <v>19708.914945443845</v>
      </c>
      <c r="AP77" s="53"/>
    </row>
    <row r="78" spans="1:42" s="1" customFormat="1">
      <c r="A78" s="220" t="str">
        <f>Components!B78</f>
        <v>Pools</v>
      </c>
      <c r="B78" s="220" t="str">
        <f>Components!C78</f>
        <v xml:space="preserve">Indoor Pool UV System </v>
      </c>
      <c r="C78" s="211"/>
      <c r="D78" s="211"/>
      <c r="E78" s="82">
        <f>AnalysisYear-Components!I78-Components!J78</f>
        <v>8</v>
      </c>
      <c r="F78" s="82">
        <f>IF(H78&lt;0,Components!K78-MOD(AnalysisYear-Components!I78-Components!J78,Components!K78),AnalysisYear-Components!I78-Components!J78)</f>
        <v>8</v>
      </c>
      <c r="G78" s="11">
        <f>ROUND(Components!H78*IF(H78&lt;0,((1+InflationRate)^F78),((1+InflationRate)^H78)),0)</f>
        <v>9367</v>
      </c>
      <c r="H78" s="82">
        <f>IF(E78&gt;=0,Components!K78-E78,E78)</f>
        <v>7</v>
      </c>
      <c r="I78" s="82"/>
      <c r="J78" s="211"/>
      <c r="K78" s="29">
        <f>IF($H78&gt;0,FV(EarningsRate,F78,-'FF Deposit'!L78,1),Components!$H78)</f>
        <v>4630.6439114027444</v>
      </c>
      <c r="L78" s="29">
        <f>'FF Deposit'!L78+IF(Components!M78&gt;0,K78-Components!M78,K78*(1+EarningsRate))</f>
        <v>5265.6366199458989</v>
      </c>
      <c r="M78" s="29">
        <f>'FF Deposit'!M78+IF(Components!N78&gt;0,L78-Components!N78,L78*(1+EarningsRate))</f>
        <v>5913.96417536846</v>
      </c>
      <c r="N78" s="29">
        <f>'FF Deposit'!N78+IF(Components!O78&gt;0,M78-Components!O78,M78*(1+EarningsRate))</f>
        <v>6575.9066094548944</v>
      </c>
      <c r="O78" s="29">
        <f>'FF Deposit'!O78+IF(Components!P78&gt;0,N78-Components!P78,N78*(1+EarningsRate))</f>
        <v>7251.7498346571438</v>
      </c>
      <c r="P78" s="29">
        <f>'FF Deposit'!P78+IF(Components!Q78&gt;0,O78-Components!Q78,O78*(1+EarningsRate))</f>
        <v>7941.7857675886407</v>
      </c>
      <c r="Q78" s="29">
        <f>'FF Deposit'!Q78+IF(Components!R78&gt;0,P78-Components!R78,P78*(1+EarningsRate))</f>
        <v>8646.312455111698</v>
      </c>
      <c r="R78" s="29">
        <f>'FF Deposit'!R78+IF(Components!S78&gt;0,Q78-Components!S78,Q78*(1+EarningsRate))</f>
        <v>9365.6342030727392</v>
      </c>
      <c r="S78" s="29">
        <f>'FF Deposit'!S78+IF(Components!T78&gt;0,R78-Components!T78,R78*(1+EarningsRate))</f>
        <v>899.55167375209828</v>
      </c>
      <c r="T78" s="29">
        <f>'FF Deposit'!T78+IF(Components!U78&gt;0,S78-Components!U78,S78*(1+EarningsRate))</f>
        <v>1819.3597295802515</v>
      </c>
      <c r="U78" s="29">
        <f>'FF Deposit'!U78+IF(Components!V78&gt;0,T78-Components!V78,T78*(1+EarningsRate))</f>
        <v>2758.4837545807959</v>
      </c>
      <c r="V78" s="29">
        <f>'FF Deposit'!V78+IF(Components!W78&gt;0,U78-Components!W78,U78*(1+EarningsRate))</f>
        <v>3717.3293841063514</v>
      </c>
      <c r="W78" s="29">
        <f>'FF Deposit'!W78+IF(Components!X78&gt;0,V78-Components!X78,V78*(1+EarningsRate))</f>
        <v>4696.3107718519432</v>
      </c>
      <c r="X78" s="29">
        <f>'FF Deposit'!X78+IF(Components!Y78&gt;0,W78-Components!Y78,W78*(1+EarningsRate))</f>
        <v>5695.8507687401925</v>
      </c>
      <c r="Y78" s="29">
        <f>'FF Deposit'!Y78+IF(Components!Z78&gt;0,X78-Components!Z78,X78*(1+EarningsRate))</f>
        <v>6716.3811055630949</v>
      </c>
      <c r="Z78" s="29">
        <f>'FF Deposit'!Z78+IF(Components!AA78&gt;0,Y78-Components!AA78,Y78*(1+EarningsRate))</f>
        <v>7758.3425794592786</v>
      </c>
      <c r="AA78" s="29">
        <f>'FF Deposit'!AA78+IF(Components!AB78&gt;0,Z78-Components!AB78,Z78*(1+EarningsRate))</f>
        <v>8822.1852443072821</v>
      </c>
      <c r="AB78" s="29">
        <f>'FF Deposit'!AB78+IF(Components!AC78&gt;0,AA78-Components!AC78,AA78*(1+EarningsRate))</f>
        <v>9908.3686051170916</v>
      </c>
      <c r="AC78" s="29">
        <f>'FF Deposit'!AC78+IF(Components!AD78&gt;0,AB78-Components!AD78,AB78*(1+EarningsRate))</f>
        <v>11017.361816503908</v>
      </c>
      <c r="AD78" s="29">
        <f>'FF Deposit'!AD78+IF(Components!AE78&gt;0,AC78-Components!AE78,AC78*(1+EarningsRate))</f>
        <v>12149.643885329848</v>
      </c>
      <c r="AE78" s="29">
        <f>'FF Deposit'!AE78+IF(Components!AF78&gt;0,AD78-Components!AF78,AD78*(1+EarningsRate))</f>
        <v>13305.703877601132</v>
      </c>
      <c r="AF78" s="29">
        <f>'FF Deposit'!AF78+IF(Components!AG78&gt;0,AE78-Components!AG78,AE78*(1+EarningsRate))</f>
        <v>14486.041129710113</v>
      </c>
      <c r="AG78" s="29">
        <f>'FF Deposit'!AG78+IF(Components!AH78&gt;0,AF78-Components!AH78,AF78*(1+EarningsRate))</f>
        <v>15691.165464113383</v>
      </c>
      <c r="AH78" s="29">
        <f>'FF Deposit'!AH78+IF(Components!AI78&gt;0,AG78-Components!AI78,AG78*(1+EarningsRate))</f>
        <v>1507.5172167952639</v>
      </c>
      <c r="AI78" s="29">
        <f>'FF Deposit'!AI78+IF(Components!AJ78&gt;0,AH78-Components!AJ78,AH78*(1+EarningsRate))</f>
        <v>3048.5268310298452</v>
      </c>
      <c r="AJ78" s="29">
        <f>'FF Deposit'!AJ78+IF(Components!AK78&gt;0,AI78-Components!AK78,AI78*(1+EarningsRate))</f>
        <v>4621.8976471633532</v>
      </c>
      <c r="AK78" s="29">
        <f>'FF Deposit'!AK78+IF(Components!AL78&gt;0,AJ78-Components!AL78,AJ78*(1+EarningsRate))</f>
        <v>6228.3092504356646</v>
      </c>
      <c r="AL78" s="29">
        <f>'FF Deposit'!AL78+IF(Components!AM78&gt;0,AK78-Components!AM78,AK78*(1+EarningsRate))</f>
        <v>7868.4554973766944</v>
      </c>
      <c r="AM78" s="29">
        <f>'FF Deposit'!AM78+IF(Components!AN78&gt;0,AL78-Components!AN78,AL78*(1+EarningsRate))</f>
        <v>9543.0448155034846</v>
      </c>
      <c r="AN78" s="29">
        <f>'FF Deposit'!AN78+IF(Components!AO78&gt;0,AM78-Components!AO78,AM78*(1+EarningsRate))</f>
        <v>11252.800509310939</v>
      </c>
      <c r="AO78" s="29">
        <f>'FF Deposit'!AO78+IF(Components!AP78&gt;0,AN78-Components!AP78,AN78*(1+EarningsRate))</f>
        <v>12998.461072688349</v>
      </c>
      <c r="AP78" s="53"/>
    </row>
    <row r="79" spans="1:42" s="1" customFormat="1">
      <c r="A79" s="220" t="str">
        <f>Components!B79</f>
        <v>Pools</v>
      </c>
      <c r="B79" s="220" t="str">
        <f>Components!C79</f>
        <v>Pool Dehumidification Unit</v>
      </c>
      <c r="C79" s="211"/>
      <c r="D79" s="211"/>
      <c r="E79" s="82">
        <f>AnalysisYear-Components!I79-Components!J79</f>
        <v>8</v>
      </c>
      <c r="F79" s="82">
        <f>IF(H79&lt;0,Components!K79-MOD(AnalysisYear-Components!I79-Components!J79,Components!K79),AnalysisYear-Components!I79-Components!J79)</f>
        <v>8</v>
      </c>
      <c r="G79" s="11">
        <f>ROUND(Components!H79*IF(H79&lt;0,((1+InflationRate)^F79),((1+InflationRate)^H79)),0)</f>
        <v>49758</v>
      </c>
      <c r="H79" s="82">
        <f>IF(E79&gt;=0,Components!K79-E79,E79)</f>
        <v>7</v>
      </c>
      <c r="I79" s="82"/>
      <c r="J79" s="211"/>
      <c r="K79" s="29">
        <f>IF($H79&gt;0,FV(EarningsRate,F79,-'FF Deposit'!L79,1),Components!$H79)</f>
        <v>24603.317677620336</v>
      </c>
      <c r="L79" s="29">
        <f>'FF Deposit'!L79+IF(Components!M79&gt;0,K79-Components!M79,K79*(1+EarningsRate))</f>
        <v>27976.539501842264</v>
      </c>
      <c r="M79" s="29">
        <f>'FF Deposit'!M79+IF(Components!N79&gt;0,L79-Components!N79,L79*(1+EarningsRate))</f>
        <v>31420.598984372853</v>
      </c>
      <c r="N79" s="29">
        <f>'FF Deposit'!N79+IF(Components!O79&gt;0,M79-Components!O79,M79*(1+EarningsRate))</f>
        <v>34936.983716036586</v>
      </c>
      <c r="O79" s="29">
        <f>'FF Deposit'!O79+IF(Components!P79&gt;0,N79-Components!P79,N79*(1+EarningsRate))</f>
        <v>38527.212527065254</v>
      </c>
      <c r="P79" s="29">
        <f>'FF Deposit'!P79+IF(Components!Q79&gt;0,O79-Components!Q79,O79*(1+EarningsRate))</f>
        <v>42192.836143125525</v>
      </c>
      <c r="Q79" s="29">
        <f>'FF Deposit'!Q79+IF(Components!R79&gt;0,P79-Components!R79,P79*(1+EarningsRate))</f>
        <v>45935.437855123062</v>
      </c>
      <c r="R79" s="29">
        <f>'FF Deposit'!R79+IF(Components!S79&gt;0,Q79-Components!S79,Q79*(1+EarningsRate))</f>
        <v>49756.63420307255</v>
      </c>
      <c r="S79" s="29">
        <f>'FF Deposit'!S79+IF(Components!T79&gt;0,R79-Components!T79,R79*(1+EarningsRate))</f>
        <v>4784.3555125701005</v>
      </c>
      <c r="T79" s="29">
        <f>'FF Deposit'!T79+IF(Components!U79&gt;0,S79-Components!U79,S79*(1+EarningsRate))</f>
        <v>9670.5482878316216</v>
      </c>
      <c r="U79" s="29">
        <f>'FF Deposit'!U79+IF(Components!V79&gt;0,T79-Components!V79,T79*(1+EarningsRate))</f>
        <v>14659.351111373635</v>
      </c>
      <c r="V79" s="29">
        <f>'FF Deposit'!V79+IF(Components!W79&gt;0,U79-Components!W79,U79*(1+EarningsRate))</f>
        <v>19752.918794210033</v>
      </c>
      <c r="W79" s="29">
        <f>'FF Deposit'!W79+IF(Components!X79&gt;0,V79-Components!X79,V79*(1+EarningsRate))</f>
        <v>24953.451398385994</v>
      </c>
      <c r="X79" s="29">
        <f>'FF Deposit'!X79+IF(Components!Y79&gt;0,W79-Components!Y79,W79*(1+EarningsRate))</f>
        <v>30263.19518724965</v>
      </c>
      <c r="Y79" s="29">
        <f>'FF Deposit'!Y79+IF(Components!Z79&gt;0,X79-Components!Z79,X79*(1+EarningsRate))</f>
        <v>35684.44359567944</v>
      </c>
      <c r="Z79" s="29">
        <f>'FF Deposit'!Z79+IF(Components!AA79&gt;0,Y79-Components!AA79,Y79*(1+EarningsRate))</f>
        <v>41219.538220686256</v>
      </c>
      <c r="AA79" s="29">
        <f>'FF Deposit'!AA79+IF(Components!AB79&gt;0,Z79-Components!AB79,Z79*(1+EarningsRate))</f>
        <v>46870.869832818214</v>
      </c>
      <c r="AB79" s="29">
        <f>'FF Deposit'!AB79+IF(Components!AC79&gt;0,AA79-Components!AC79,AA79*(1+EarningsRate))</f>
        <v>52640.879408804947</v>
      </c>
      <c r="AC79" s="29">
        <f>'FF Deposit'!AC79+IF(Components!AD79&gt;0,AB79-Components!AD79,AB79*(1+EarningsRate))</f>
        <v>58532.059185887396</v>
      </c>
      <c r="AD79" s="29">
        <f>'FF Deposit'!AD79+IF(Components!AE79&gt;0,AC79-Components!AE79,AC79*(1+EarningsRate))</f>
        <v>64546.953738288576</v>
      </c>
      <c r="AE79" s="29">
        <f>'FF Deposit'!AE79+IF(Components!AF79&gt;0,AD79-Components!AF79,AD79*(1+EarningsRate))</f>
        <v>70688.161076290169</v>
      </c>
      <c r="AF79" s="29">
        <f>'FF Deposit'!AF79+IF(Components!AG79&gt;0,AE79-Components!AG79,AE79*(1+EarningsRate))</f>
        <v>76958.333768389799</v>
      </c>
      <c r="AG79" s="29">
        <f>'FF Deposit'!AG79+IF(Components!AH79&gt;0,AF79-Components!AH79,AF79*(1+EarningsRate))</f>
        <v>83360.180087023517</v>
      </c>
      <c r="AH79" s="29">
        <f>'FF Deposit'!AH79+IF(Components!AI79&gt;0,AG79-Components!AI79,AG79*(1+EarningsRate))</f>
        <v>8015.9320023403452</v>
      </c>
      <c r="AI79" s="29">
        <f>'FF Deposit'!AI79+IF(Components!AJ79&gt;0,AH79-Components!AJ79,AH79*(1+EarningsRate))</f>
        <v>16202.018489706319</v>
      </c>
      <c r="AJ79" s="29">
        <f>'FF Deposit'!AJ79+IF(Components!AK79&gt;0,AI79-Components!AK79,AI79*(1+EarningsRate))</f>
        <v>24560.012793306978</v>
      </c>
      <c r="AK79" s="29">
        <f>'FF Deposit'!AK79+IF(Components!AL79&gt;0,AJ79-Components!AL79,AJ79*(1+EarningsRate))</f>
        <v>33093.524977283247</v>
      </c>
      <c r="AL79" s="29">
        <f>'FF Deposit'!AL79+IF(Components!AM79&gt;0,AK79-Components!AM79,AK79*(1+EarningsRate))</f>
        <v>41806.240917123025</v>
      </c>
      <c r="AM79" s="29">
        <f>'FF Deposit'!AM79+IF(Components!AN79&gt;0,AL79-Components!AN79,AL79*(1+EarningsRate))</f>
        <v>50701.923891699436</v>
      </c>
      <c r="AN79" s="29">
        <f>'FF Deposit'!AN79+IF(Components!AO79&gt;0,AM79-Components!AO79,AM79*(1+EarningsRate))</f>
        <v>59784.416208741954</v>
      </c>
      <c r="AO79" s="29">
        <f>'FF Deposit'!AO79+IF(Components!AP79&gt;0,AN79-Components!AP79,AN79*(1+EarningsRate))</f>
        <v>69057.640864442365</v>
      </c>
      <c r="AP79" s="53"/>
    </row>
    <row r="80" spans="1:42" s="1" customFormat="1">
      <c r="A80" s="220" t="str">
        <f>Components!B80</f>
        <v>Pools</v>
      </c>
      <c r="B80" s="220" t="str">
        <f>Components!C80</f>
        <v>Pool lift</v>
      </c>
      <c r="C80" s="211"/>
      <c r="D80" s="211"/>
      <c r="E80" s="82">
        <f>AnalysisYear-Components!I80-Components!J80</f>
        <v>2</v>
      </c>
      <c r="F80" s="82">
        <f>IF(H80&lt;0,Components!K80-MOD(AnalysisYear-Components!I80-Components!J80,Components!K80),AnalysisYear-Components!I80-Components!J80)</f>
        <v>2</v>
      </c>
      <c r="G80" s="11">
        <f>ROUND(Components!H80*IF(H80&lt;0,((1+InflationRate)^F80),((1+InflationRate)^H80)),0)</f>
        <v>6814</v>
      </c>
      <c r="H80" s="82">
        <f>IF(E80&gt;=0,Components!K80-E80,E80)</f>
        <v>8</v>
      </c>
      <c r="I80" s="82"/>
      <c r="J80" s="211"/>
      <c r="K80" s="29">
        <f>IF($H80&gt;0,FV(EarningsRate,F80,-'FF Deposit'!L80,1),Components!$H80)</f>
        <v>1250.8849049426256</v>
      </c>
      <c r="L80" s="29">
        <f>'FF Deposit'!L80+IF(Components!M80&gt;0,K80-Components!M80,K80*(1+EarningsRate))</f>
        <v>1896.612837744854</v>
      </c>
      <c r="M80" s="29">
        <f>'FF Deposit'!M80+IF(Components!N80&gt;0,L80-Components!N80,L80*(1+EarningsRate))</f>
        <v>2555.901057135929</v>
      </c>
      <c r="N80" s="29">
        <f>'FF Deposit'!N80+IF(Components!O80&gt;0,M80-Components!O80,M80*(1+EarningsRate))</f>
        <v>3229.0343291342165</v>
      </c>
      <c r="O80" s="29">
        <f>'FF Deposit'!O80+IF(Components!P80&gt;0,N80-Components!P80,N80*(1+EarningsRate))</f>
        <v>3916.303399844468</v>
      </c>
      <c r="P80" s="29">
        <f>'FF Deposit'!P80+IF(Components!Q80&gt;0,O80-Components!Q80,O80*(1+EarningsRate))</f>
        <v>4618.005121039635</v>
      </c>
      <c r="Q80" s="29">
        <f>'FF Deposit'!Q80+IF(Components!R80&gt;0,P80-Components!R80,P80*(1+EarningsRate))</f>
        <v>5334.4425783799006</v>
      </c>
      <c r="R80" s="29">
        <f>'FF Deposit'!R80+IF(Components!S80&gt;0,Q80-Components!S80,Q80*(1+EarningsRate))</f>
        <v>6065.9252223243111</v>
      </c>
      <c r="S80" s="29">
        <f>'FF Deposit'!S80+IF(Components!T80&gt;0,R80-Components!T80,R80*(1+EarningsRate))</f>
        <v>6812.7690017915547</v>
      </c>
      <c r="T80" s="29">
        <f>'FF Deposit'!T80+IF(Components!U80&gt;0,S80-Components!U80,S80*(1+EarningsRate))</f>
        <v>872.57759287239026</v>
      </c>
      <c r="U80" s="29">
        <f>'FF Deposit'!U80+IF(Components!V80&gt;0,T80-Components!V80,T80*(1+EarningsRate))</f>
        <v>1764.710313403546</v>
      </c>
      <c r="V80" s="29">
        <f>'FF Deposit'!V80+IF(Components!W80&gt;0,U80-Components!W80,U80*(1+EarningsRate))</f>
        <v>2675.5778210658559</v>
      </c>
      <c r="W80" s="29">
        <f>'FF Deposit'!W80+IF(Components!X80&gt;0,V80-Components!X80,V80*(1+EarningsRate))</f>
        <v>3605.5735463890742</v>
      </c>
      <c r="X80" s="29">
        <f>'FF Deposit'!X80+IF(Components!Y80&gt;0,W80-Components!Y80,W80*(1+EarningsRate))</f>
        <v>4555.0991819440796</v>
      </c>
      <c r="Y80" s="29">
        <f>'FF Deposit'!Y80+IF(Components!Z80&gt;0,X80-Components!Z80,X80*(1+EarningsRate))</f>
        <v>5524.5648558457406</v>
      </c>
      <c r="Z80" s="29">
        <f>'FF Deposit'!Z80+IF(Components!AA80&gt;0,Y80-Components!AA80,Y80*(1+EarningsRate))</f>
        <v>6514.3893088993364</v>
      </c>
      <c r="AA80" s="29">
        <f>'FF Deposit'!AA80+IF(Components!AB80&gt;0,Z80-Components!AB80,Z80*(1+EarningsRate))</f>
        <v>7525.0000754670573</v>
      </c>
      <c r="AB80" s="29">
        <f>'FF Deposit'!AB80+IF(Components!AC80&gt;0,AA80-Components!AC80,AA80*(1+EarningsRate))</f>
        <v>8556.8336681327</v>
      </c>
      <c r="AC80" s="29">
        <f>'FF Deposit'!AC80+IF(Components!AD80&gt;0,AB80-Components!AD80,AB80*(1+EarningsRate))</f>
        <v>9610.3357662443213</v>
      </c>
      <c r="AD80" s="29">
        <f>'FF Deposit'!AD80+IF(Components!AE80&gt;0,AC80-Components!AE80,AC80*(1+EarningsRate))</f>
        <v>1230.0804075798176</v>
      </c>
      <c r="AE80" s="29">
        <f>'FF Deposit'!AE80+IF(Components!AF80&gt;0,AD80-Components!AF80,AD80*(1+EarningsRate))</f>
        <v>2488.65673747449</v>
      </c>
      <c r="AF80" s="29">
        <f>'FF Deposit'!AF80+IF(Components!AG80&gt;0,AE80-Components!AG80,AE80*(1+EarningsRate))</f>
        <v>3773.6631702969507</v>
      </c>
      <c r="AG80" s="29">
        <f>'FF Deposit'!AG80+IF(Components!AH80&gt;0,AF80-Components!AH80,AF80*(1+EarningsRate))</f>
        <v>5085.6547382086828</v>
      </c>
      <c r="AH80" s="29">
        <f>'FF Deposit'!AH80+IF(Components!AI80&gt;0,AG80-Components!AI80,AG80*(1+EarningsRate))</f>
        <v>6425.198129046561</v>
      </c>
      <c r="AI80" s="29">
        <f>'FF Deposit'!AI80+IF(Components!AJ80&gt;0,AH80-Components!AJ80,AH80*(1+EarningsRate))</f>
        <v>7792.8719310920351</v>
      </c>
      <c r="AJ80" s="29">
        <f>'FF Deposit'!AJ80+IF(Components!AK80&gt;0,AI80-Components!AK80,AI80*(1+EarningsRate))</f>
        <v>9189.2668829804625</v>
      </c>
      <c r="AK80" s="29">
        <f>'FF Deposit'!AK80+IF(Components!AL80&gt;0,AJ80-Components!AL80,AJ80*(1+EarningsRate))</f>
        <v>10614.986128858547</v>
      </c>
      <c r="AL80" s="29">
        <f>'FF Deposit'!AL80+IF(Components!AM80&gt;0,AK80-Components!AM80,AK80*(1+EarningsRate))</f>
        <v>12070.645478900071</v>
      </c>
      <c r="AM80" s="29">
        <f>'FF Deposit'!AM80+IF(Components!AN80&gt;0,AL80-Components!AN80,AL80*(1+EarningsRate))</f>
        <v>13556.873675292467</v>
      </c>
      <c r="AN80" s="29">
        <f>'FF Deposit'!AN80+IF(Components!AO80&gt;0,AM80-Components!AO80,AM80*(1+EarningsRate))</f>
        <v>1736.6424875121686</v>
      </c>
      <c r="AO80" s="29">
        <f>'FF Deposit'!AO80+IF(Components!AP80&gt;0,AN80-Components!AP80,AN80*(1+EarningsRate))</f>
        <v>3511.8807919696255</v>
      </c>
      <c r="AP80" s="53"/>
    </row>
    <row r="81" spans="1:42" s="1" customFormat="1">
      <c r="A81" s="220" t="str">
        <f>Components!B81</f>
        <v>Pools</v>
      </c>
      <c r="B81" s="220" t="str">
        <f>Components!C81</f>
        <v>Pool Recirculation Motor</v>
      </c>
      <c r="C81" s="211"/>
      <c r="D81" s="211"/>
      <c r="E81" s="82">
        <f>AnalysisYear-Components!I81-Components!J81</f>
        <v>6</v>
      </c>
      <c r="F81" s="82">
        <f>IF(H81&lt;0,Components!K81-MOD(AnalysisYear-Components!I81-Components!J81,Components!K81),AnalysisYear-Components!I81-Components!J81)</f>
        <v>4</v>
      </c>
      <c r="G81" s="11">
        <f>ROUND(Components!H81*IF(H81&lt;0,((1+InflationRate)^F81),((1+InflationRate)^H81)),0)</f>
        <v>12089</v>
      </c>
      <c r="H81" s="82">
        <f>IF(E81&gt;=0,Components!K81-E81,E81)</f>
        <v>-1</v>
      </c>
      <c r="I81" s="82"/>
      <c r="J81" s="211"/>
      <c r="K81" s="29">
        <f>IF($H81&gt;0,FV(EarningsRate,F81,-'FF Deposit'!L81,1),Components!$H81)</f>
        <v>10534.472295707223</v>
      </c>
      <c r="L81" s="29">
        <f>'FF Deposit'!L81+IF(Components!M81&gt;0,K81-Components!M81,K81*(1+EarningsRate))</f>
        <v>10755.696213917074</v>
      </c>
      <c r="M81" s="29">
        <f>'FF Deposit'!M81+IF(Components!N81&gt;0,L81-Components!N81,L81*(1+EarningsRate))</f>
        <v>10981.565834409332</v>
      </c>
      <c r="N81" s="29">
        <f>'FF Deposit'!N81+IF(Components!O81&gt;0,M81-Components!O81,M81*(1+EarningsRate))</f>
        <v>11212.178716931927</v>
      </c>
      <c r="O81" s="29">
        <f>'FF Deposit'!O81+IF(Components!P81&gt;0,N81-Components!P81,N81*(1+EarningsRate))</f>
        <v>11447.634469987497</v>
      </c>
      <c r="P81" s="29">
        <f>'FF Deposit'!P81+IF(Components!Q81&gt;0,O81-Components!Q81,O81*(1+EarningsRate))</f>
        <v>2112.1217702256181</v>
      </c>
      <c r="Q81" s="29">
        <f>'FF Deposit'!Q81+IF(Components!R81&gt;0,P81-Components!R81,P81*(1+EarningsRate))</f>
        <v>4909.9636276384772</v>
      </c>
      <c r="R81" s="29">
        <f>'FF Deposit'!R81+IF(Components!S81&gt;0,Q81-Components!S81,Q81*(1+EarningsRate))</f>
        <v>7766.5601640570057</v>
      </c>
      <c r="S81" s="29">
        <f>'FF Deposit'!S81+IF(Components!T81&gt;0,R81-Components!T81,R81*(1+EarningsRate))</f>
        <v>10683.145227740322</v>
      </c>
      <c r="T81" s="29">
        <f>'FF Deposit'!T81+IF(Components!U81&gt;0,S81-Components!U81,S81*(1+EarningsRate))</f>
        <v>13660.978577760989</v>
      </c>
      <c r="U81" s="29">
        <f>'FF Deposit'!U81+IF(Components!V81&gt;0,T81-Components!V81,T81*(1+EarningsRate))</f>
        <v>2574.0436922881372</v>
      </c>
      <c r="V81" s="29">
        <f>'FF Deposit'!V81+IF(Components!W81&gt;0,U81-Components!W81,U81*(1+EarningsRate))</f>
        <v>5898.1637243533369</v>
      </c>
      <c r="W81" s="29">
        <f>'FF Deposit'!W81+IF(Components!X81&gt;0,V81-Components!X81,V81*(1+EarningsRate))</f>
        <v>9292.0902770919056</v>
      </c>
      <c r="X81" s="29">
        <f>'FF Deposit'!X81+IF(Components!Y81&gt;0,W81-Components!Y81,W81*(1+EarningsRate))</f>
        <v>12757.289287437983</v>
      </c>
      <c r="Y81" s="29">
        <f>'FF Deposit'!Y81+IF(Components!Z81&gt;0,X81-Components!Z81,X81*(1+EarningsRate))</f>
        <v>16295.257477001327</v>
      </c>
      <c r="Z81" s="29">
        <f>'FF Deposit'!Z81+IF(Components!AA81&gt;0,Y81-Components!AA81,Y81*(1+EarningsRate))</f>
        <v>3127.1573399892036</v>
      </c>
      <c r="AA81" s="29">
        <f>'FF Deposit'!AA81+IF(Components!AB81&gt;0,Z81-Components!AB81,Z81*(1+EarningsRate))</f>
        <v>7076.7275071168533</v>
      </c>
      <c r="AB81" s="29">
        <f>'FF Deposit'!AB81+IF(Components!AC81&gt;0,AA81-Components!AC81,AA81*(1+EarningsRate))</f>
        <v>11109.238647754182</v>
      </c>
      <c r="AC81" s="29">
        <f>'FF Deposit'!AC81+IF(Components!AD81&gt;0,AB81-Components!AD81,AB81*(1+EarningsRate))</f>
        <v>15226.432522344896</v>
      </c>
      <c r="AD81" s="29">
        <f>'FF Deposit'!AD81+IF(Components!AE81&gt;0,AC81-Components!AE81,AC81*(1+EarningsRate))</f>
        <v>19430.087468302012</v>
      </c>
      <c r="AE81" s="29">
        <f>'FF Deposit'!AE81+IF(Components!AF81&gt;0,AD81-Components!AF81,AD81*(1+EarningsRate))</f>
        <v>3790.0726855840594</v>
      </c>
      <c r="AF81" s="29">
        <f>'FF Deposit'!AF81+IF(Components!AG81&gt;0,AE81-Components!AG81,AE81*(1+EarningsRate))</f>
        <v>8482.6494292633724</v>
      </c>
      <c r="AG81" s="29">
        <f>'FF Deposit'!AG81+IF(Components!AH81&gt;0,AF81-Components!AH81,AF81*(1+EarningsRate))</f>
        <v>13273.770284559949</v>
      </c>
      <c r="AH81" s="29">
        <f>'FF Deposit'!AH81+IF(Components!AI81&gt;0,AG81-Components!AI81,AG81*(1+EarningsRate))</f>
        <v>18165.504677817753</v>
      </c>
      <c r="AI81" s="29">
        <f>'FF Deposit'!AI81+IF(Components!AJ81&gt;0,AH81-Components!AJ81,AH81*(1+EarningsRate))</f>
        <v>23159.96549333397</v>
      </c>
      <c r="AJ81" s="29">
        <f>'FF Deposit'!AJ81+IF(Components!AK81&gt;0,AI81-Components!AK81,AI81*(1+EarningsRate))</f>
        <v>4584.6968623411476</v>
      </c>
      <c r="AK81" s="29">
        <f>'FF Deposit'!AK81+IF(Components!AL81&gt;0,AJ81-Components!AL81,AJ81*(1+EarningsRate))</f>
        <v>10159.706865457489</v>
      </c>
      <c r="AL81" s="29">
        <f>'FF Deposit'!AL81+IF(Components!AM81&gt;0,AK81-Components!AM81,AK81*(1+EarningsRate))</f>
        <v>15851.792078639271</v>
      </c>
      <c r="AM81" s="29">
        <f>'FF Deposit'!AM81+IF(Components!AN81&gt;0,AL81-Components!AN81,AL81*(1+EarningsRate))</f>
        <v>21663.411081297872</v>
      </c>
      <c r="AN81" s="29">
        <f>'FF Deposit'!AN81+IF(Components!AO81&gt;0,AM81-Components!AO81,AM81*(1+EarningsRate))</f>
        <v>27597.074083012303</v>
      </c>
      <c r="AO81" s="29">
        <f>'FF Deposit'!AO81+IF(Components!AP81&gt;0,AN81-Components!AP81,AN81*(1+EarningsRate))</f>
        <v>5535.9501846917346</v>
      </c>
      <c r="AP81" s="53"/>
    </row>
    <row r="82" spans="1:42" s="1" customFormat="1">
      <c r="A82" s="220" t="str">
        <f>Components!B82</f>
        <v>Pools</v>
      </c>
      <c r="B82" s="220" t="str">
        <f>Components!C82</f>
        <v>Pool Water Filter</v>
      </c>
      <c r="C82" s="211"/>
      <c r="D82" s="211"/>
      <c r="E82" s="82">
        <f>AnalysisYear-Components!I82-Components!J82</f>
        <v>8</v>
      </c>
      <c r="F82" s="82">
        <f>IF(H82&lt;0,Components!K82-MOD(AnalysisYear-Components!I82-Components!J82,Components!K82),AnalysisYear-Components!I82-Components!J82)</f>
        <v>8</v>
      </c>
      <c r="G82" s="11">
        <f>ROUND(Components!H82*IF(H82&lt;0,((1+InflationRate)^F82),((1+InflationRate)^H82)),0)</f>
        <v>69643</v>
      </c>
      <c r="H82" s="82">
        <f>IF(E82&gt;=0,Components!K82-E82,E82)</f>
        <v>12</v>
      </c>
      <c r="I82" s="82"/>
      <c r="J82" s="211"/>
      <c r="K82" s="29">
        <f>IF($H82&gt;0,FV(EarningsRate,F82,-'FF Deposit'!L82,1),Components!$H82)</f>
        <v>24442.201034259873</v>
      </c>
      <c r="L82" s="29">
        <f>'FF Deposit'!L82+IF(Components!M82&gt;0,K82-Components!M82,K82*(1+EarningsRate))</f>
        <v>27793.333963973535</v>
      </c>
      <c r="M82" s="29">
        <f>'FF Deposit'!M82+IF(Components!N82&gt;0,L82-Components!N82,L82*(1+EarningsRate))</f>
        <v>31214.840685211184</v>
      </c>
      <c r="N82" s="29">
        <f>'FF Deposit'!N82+IF(Components!O82&gt;0,M82-Components!O82,M82*(1+EarningsRate))</f>
        <v>34708.199047594819</v>
      </c>
      <c r="O82" s="29">
        <f>'FF Deposit'!O82+IF(Components!P82&gt;0,N82-Components!P82,N82*(1+EarningsRate))</f>
        <v>38274.917935588514</v>
      </c>
      <c r="P82" s="29">
        <f>'FF Deposit'!P82+IF(Components!Q82&gt;0,O82-Components!Q82,O82*(1+EarningsRate))</f>
        <v>41916.537920230076</v>
      </c>
      <c r="Q82" s="29">
        <f>'FF Deposit'!Q82+IF(Components!R82&gt;0,P82-Components!R82,P82*(1+EarningsRate))</f>
        <v>45634.63192454911</v>
      </c>
      <c r="R82" s="29">
        <f>'FF Deposit'!R82+IF(Components!S82&gt;0,Q82-Components!S82,Q82*(1+EarningsRate))</f>
        <v>49430.80590295884</v>
      </c>
      <c r="S82" s="29">
        <f>'FF Deposit'!S82+IF(Components!T82&gt;0,R82-Components!T82,R82*(1+EarningsRate))</f>
        <v>53306.699534915177</v>
      </c>
      <c r="T82" s="29">
        <f>'FF Deposit'!T82+IF(Components!U82&gt;0,S82-Components!U82,S82*(1+EarningsRate))</f>
        <v>57263.986933142594</v>
      </c>
      <c r="U82" s="29">
        <f>'FF Deposit'!U82+IF(Components!V82&gt;0,T82-Components!V82,T82*(1+EarningsRate))</f>
        <v>61304.377366732791</v>
      </c>
      <c r="V82" s="29">
        <f>'FF Deposit'!V82+IF(Components!W82&gt;0,U82-Components!W82,U82*(1+EarningsRate))</f>
        <v>65429.615999428381</v>
      </c>
      <c r="W82" s="29">
        <f>'FF Deposit'!W82+IF(Components!X82&gt;0,V82-Components!X82,V82*(1+EarningsRate))</f>
        <v>69641.484643410571</v>
      </c>
      <c r="X82" s="29">
        <f>'FF Deposit'!X82+IF(Components!Y82&gt;0,W82-Components!Y82,W82*(1+EarningsRate))</f>
        <v>5645.2004192006407</v>
      </c>
      <c r="Y82" s="29">
        <f>'FF Deposit'!Y82+IF(Components!Z82&gt;0,X82-Components!Z82,X82*(1+EarningsRate))</f>
        <v>11410.465403793924</v>
      </c>
      <c r="Z82" s="29">
        <f>'FF Deposit'!Z82+IF(Components!AA82&gt;0,Y82-Components!AA82,Y82*(1+EarningsRate))</f>
        <v>17296.800953063663</v>
      </c>
      <c r="AA82" s="29">
        <f>'FF Deposit'!AA82+IF(Components!AB82&gt;0,Z82-Components!AB82,Z82*(1+EarningsRate))</f>
        <v>23306.749548868065</v>
      </c>
      <c r="AB82" s="29">
        <f>'FF Deposit'!AB82+IF(Components!AC82&gt;0,AA82-Components!AC82,AA82*(1+EarningsRate))</f>
        <v>29442.907065184365</v>
      </c>
      <c r="AC82" s="29">
        <f>'FF Deposit'!AC82+IF(Components!AD82&gt;0,AB82-Components!AD82,AB82*(1+EarningsRate))</f>
        <v>35707.923889343307</v>
      </c>
      <c r="AD82" s="29">
        <f>'FF Deposit'!AD82+IF(Components!AE82&gt;0,AC82-Components!AE82,AC82*(1+EarningsRate))</f>
        <v>42104.506066809583</v>
      </c>
      <c r="AE82" s="29">
        <f>'FF Deposit'!AE82+IF(Components!AF82&gt;0,AD82-Components!AF82,AD82*(1+EarningsRate))</f>
        <v>48635.416470002652</v>
      </c>
      <c r="AF82" s="29">
        <f>'FF Deposit'!AF82+IF(Components!AG82&gt;0,AE82-Components!AG82,AE82*(1+EarningsRate))</f>
        <v>55303.475991662774</v>
      </c>
      <c r="AG82" s="29">
        <f>'FF Deposit'!AG82+IF(Components!AH82&gt;0,AF82-Components!AH82,AF82*(1+EarningsRate))</f>
        <v>62111.564763277755</v>
      </c>
      <c r="AH82" s="29">
        <f>'FF Deposit'!AH82+IF(Components!AI82&gt;0,AG82-Components!AI82,AG82*(1+EarningsRate))</f>
        <v>69062.623399096643</v>
      </c>
      <c r="AI82" s="29">
        <f>'FF Deposit'!AI82+IF(Components!AJ82&gt;0,AH82-Components!AJ82,AH82*(1+EarningsRate))</f>
        <v>76159.654266267738</v>
      </c>
      <c r="AJ82" s="29">
        <f>'FF Deposit'!AJ82+IF(Components!AK82&gt;0,AI82-Components!AK82,AI82*(1+EarningsRate))</f>
        <v>83405.722781649427</v>
      </c>
      <c r="AK82" s="29">
        <f>'FF Deposit'!AK82+IF(Components!AL82&gt;0,AJ82-Components!AL82,AJ82*(1+EarningsRate))</f>
        <v>90803.958735854132</v>
      </c>
      <c r="AL82" s="29">
        <f>'FF Deposit'!AL82+IF(Components!AM82&gt;0,AK82-Components!AM82,AK82*(1+EarningsRate))</f>
        <v>98357.557645097128</v>
      </c>
      <c r="AM82" s="29">
        <f>'FF Deposit'!AM82+IF(Components!AN82&gt;0,AL82-Components!AN82,AL82*(1+EarningsRate))</f>
        <v>106069.78213143423</v>
      </c>
      <c r="AN82" s="29">
        <f>'FF Deposit'!AN82+IF(Components!AO82&gt;0,AM82-Components!AO82,AM82*(1+EarningsRate))</f>
        <v>113943.96333198441</v>
      </c>
      <c r="AO82" s="29">
        <f>'FF Deposit'!AO82+IF(Components!AP82&gt;0,AN82-Components!AP82,AN82*(1+EarningsRate))</f>
        <v>121983.50233774615</v>
      </c>
      <c r="AP82" s="53"/>
    </row>
    <row r="83" spans="1:42" s="1" customFormat="1">
      <c r="A83" s="220" t="str">
        <f>Components!B83</f>
        <v>Pools</v>
      </c>
      <c r="B83" s="220" t="str">
        <f>Components!C83</f>
        <v>Pool, outdoor, plaster finish</v>
      </c>
      <c r="C83" s="211"/>
      <c r="D83" s="211"/>
      <c r="E83" s="82">
        <f>AnalysisYear-Components!I83-Components!J83</f>
        <v>7</v>
      </c>
      <c r="F83" s="82">
        <f>IF(H83&lt;0,Components!K83-MOD(AnalysisYear-Components!I83-Components!J83,Components!K83),AnalysisYear-Components!I83-Components!J83)</f>
        <v>7</v>
      </c>
      <c r="G83" s="11">
        <f>ROUND(Components!H83*IF(H83&lt;0,((1+InflationRate)^F83),((1+InflationRate)^H83)),0)</f>
        <v>73780</v>
      </c>
      <c r="H83" s="82">
        <f>IF(E83&gt;=0,Components!K83-E83,E83)</f>
        <v>8</v>
      </c>
      <c r="I83" s="82"/>
      <c r="J83" s="211"/>
      <c r="K83" s="29">
        <f>IF($H83&gt;0,FV(EarningsRate,F83,-'FF Deposit'!L83,1),Components!$H83)</f>
        <v>31582.924577629921</v>
      </c>
      <c r="L83" s="29">
        <f>'FF Deposit'!L83+IF(Components!M83&gt;0,K83-Components!M83,K83*(1+EarningsRate))</f>
        <v>36481.79479410869</v>
      </c>
      <c r="M83" s="29">
        <f>'FF Deposit'!M83+IF(Components!N83&gt;0,L83-Components!N83,L83*(1+EarningsRate))</f>
        <v>41483.541285133506</v>
      </c>
      <c r="N83" s="29">
        <f>'FF Deposit'!N83+IF(Components!O83&gt;0,M83-Components!O83,M83*(1+EarningsRate))</f>
        <v>46590.324452469846</v>
      </c>
      <c r="O83" s="29">
        <f>'FF Deposit'!O83+IF(Components!P83&gt;0,N83-Components!P83,N83*(1+EarningsRate))</f>
        <v>51804.35006632025</v>
      </c>
      <c r="P83" s="29">
        <f>'FF Deposit'!P83+IF(Components!Q83&gt;0,O83-Components!Q83,O83*(1+EarningsRate))</f>
        <v>57127.870218061507</v>
      </c>
      <c r="Q83" s="29">
        <f>'FF Deposit'!Q83+IF(Components!R83&gt;0,P83-Components!R83,P83*(1+EarningsRate))</f>
        <v>62563.184292989332</v>
      </c>
      <c r="R83" s="29">
        <f>'FF Deposit'!R83+IF(Components!S83&gt;0,Q83-Components!S83,Q83*(1+EarningsRate))</f>
        <v>68112.639963490641</v>
      </c>
      <c r="S83" s="29">
        <f>'FF Deposit'!S83+IF(Components!T83&gt;0,R83-Components!T83,R83*(1+EarningsRate))</f>
        <v>73778.634203072477</v>
      </c>
      <c r="T83" s="29">
        <f>'FF Deposit'!T83+IF(Components!U83&gt;0,S83-Components!U83,S83*(1+EarningsRate))</f>
        <v>7094.7899612365763</v>
      </c>
      <c r="U83" s="29">
        <f>'FF Deposit'!U83+IF(Components!V83&gt;0,T83-Components!V83,T83*(1+EarningsRate))</f>
        <v>14339.936308586643</v>
      </c>
      <c r="V83" s="29">
        <f>'FF Deposit'!V83+IF(Components!W83&gt;0,U83-Components!W83,U83*(1+EarningsRate))</f>
        <v>21737.230729231058</v>
      </c>
      <c r="W83" s="29">
        <f>'FF Deposit'!W83+IF(Components!X83&gt;0,V83-Components!X83,V83*(1+EarningsRate))</f>
        <v>29289.868332709008</v>
      </c>
      <c r="X83" s="29">
        <f>'FF Deposit'!X83+IF(Components!Y83&gt;0,W83-Components!Y83,W83*(1+EarningsRate))</f>
        <v>37001.111325859994</v>
      </c>
      <c r="Y83" s="29">
        <f>'FF Deposit'!Y83+IF(Components!Z83&gt;0,X83-Components!Z83,X83*(1+EarningsRate))</f>
        <v>44874.290421867147</v>
      </c>
      <c r="Z83" s="29">
        <f>'FF Deposit'!Z83+IF(Components!AA83&gt;0,Y83-Components!AA83,Y83*(1+EarningsRate))</f>
        <v>52912.80627889045</v>
      </c>
      <c r="AA83" s="29">
        <f>'FF Deposit'!AA83+IF(Components!AB83&gt;0,Z83-Components!AB83,Z83*(1+EarningsRate))</f>
        <v>61120.130968911239</v>
      </c>
      <c r="AB83" s="29">
        <f>'FF Deposit'!AB83+IF(Components!AC83&gt;0,AA83-Components!AC83,AA83*(1+EarningsRate))</f>
        <v>69499.809477422474</v>
      </c>
      <c r="AC83" s="29">
        <f>'FF Deposit'!AC83+IF(Components!AD83&gt;0,AB83-Components!AD83,AB83*(1+EarningsRate))</f>
        <v>78055.461234612434</v>
      </c>
      <c r="AD83" s="29">
        <f>'FF Deposit'!AD83+IF(Components!AE83&gt;0,AC83-Components!AE83,AC83*(1+EarningsRate))</f>
        <v>86790.781678703381</v>
      </c>
      <c r="AE83" s="29">
        <f>'FF Deposit'!AE83+IF(Components!AF83&gt;0,AD83-Components!AF83,AD83*(1+EarningsRate))</f>
        <v>95709.543852120245</v>
      </c>
      <c r="AF83" s="29">
        <f>'FF Deposit'!AF83+IF(Components!AG83&gt;0,AE83-Components!AG83,AE83*(1+EarningsRate))</f>
        <v>104815.60003117885</v>
      </c>
      <c r="AG83" s="29">
        <f>'FF Deposit'!AG83+IF(Components!AH83&gt;0,AF83-Components!AH83,AF83*(1+EarningsRate))</f>
        <v>114112.88338999769</v>
      </c>
      <c r="AH83" s="29">
        <f>'FF Deposit'!AH83+IF(Components!AI83&gt;0,AG83-Components!AI83,AG83*(1+EarningsRate))</f>
        <v>123605.40969935173</v>
      </c>
      <c r="AI83" s="29">
        <f>'FF Deposit'!AI83+IF(Components!AJ83&gt;0,AH83-Components!AJ83,AH83*(1+EarningsRate))</f>
        <v>11886.019362609361</v>
      </c>
      <c r="AJ83" s="29">
        <f>'FF Deposit'!AJ83+IF(Components!AK83&gt;0,AI83-Components!AK83,AI83*(1+EarningsRate))</f>
        <v>24024.235432481786</v>
      </c>
      <c r="AK83" s="29">
        <f>'FF Deposit'!AK83+IF(Components!AL83&gt;0,AJ83-Components!AL83,AJ83*(1+EarningsRate))</f>
        <v>36417.354039821526</v>
      </c>
      <c r="AL83" s="29">
        <f>'FF Deposit'!AL83+IF(Components!AM83&gt;0,AK83-Components!AM83,AK83*(1+EarningsRate))</f>
        <v>49070.728137915408</v>
      </c>
      <c r="AM83" s="29">
        <f>'FF Deposit'!AM83+IF(Components!AN83&gt;0,AL83-Components!AN83,AL83*(1+EarningsRate))</f>
        <v>61989.823092069259</v>
      </c>
      <c r="AN83" s="29">
        <f>'FF Deposit'!AN83+IF(Components!AO83&gt;0,AM83-Components!AO83,AM83*(1+EarningsRate))</f>
        <v>75180.21904026033</v>
      </c>
      <c r="AO83" s="29">
        <f>'FF Deposit'!AO83+IF(Components!AP83&gt;0,AN83-Components!AP83,AN83*(1+EarningsRate))</f>
        <v>88647.613303363411</v>
      </c>
      <c r="AP83" s="53"/>
    </row>
    <row r="84" spans="1:42" s="1" customFormat="1">
      <c r="A84" s="220" t="str">
        <f>Components!B84</f>
        <v>Restaurant</v>
      </c>
      <c r="B84" s="220" t="str">
        <f>Components!C84</f>
        <v>Banquet Room Carpet</v>
      </c>
      <c r="C84" s="211"/>
      <c r="D84" s="211"/>
      <c r="E84" s="82">
        <f>AnalysisYear-Components!I84-Components!J84</f>
        <v>5</v>
      </c>
      <c r="F84" s="82">
        <f>IF(H84&lt;0,Components!K84-MOD(AnalysisYear-Components!I84-Components!J84,Components!K84),AnalysisYear-Components!I84-Components!J84)</f>
        <v>5</v>
      </c>
      <c r="G84" s="11">
        <f>ROUND(Components!H84*IF(H84&lt;0,((1+InflationRate)^F84),((1+InflationRate)^H84)),0)</f>
        <v>10793</v>
      </c>
      <c r="H84" s="82">
        <f>IF(E84&gt;=0,Components!K84-E84,E84)</f>
        <v>0</v>
      </c>
      <c r="I84" s="82"/>
      <c r="J84" s="211"/>
      <c r="K84" s="29">
        <f>IF($H84&gt;0,FV(EarningsRate,F84,-'FF Deposit'!L84,1),Components!$H84)</f>
        <v>10792.591874999998</v>
      </c>
      <c r="L84" s="29">
        <f>'FF Deposit'!L84+IF(Components!M84&gt;0,K84-Components!M84,K84*(1+EarningsRate))</f>
        <v>2457.8918527872465</v>
      </c>
      <c r="M84" s="29">
        <f>'FF Deposit'!M84+IF(Components!N84&gt;0,L84-Components!N84,L84*(1+EarningsRate))</f>
        <v>4967.8075594830261</v>
      </c>
      <c r="N84" s="29">
        <f>'FF Deposit'!N84+IF(Components!O84&gt;0,M84-Components!O84,M84*(1+EarningsRate))</f>
        <v>7530.4314960194179</v>
      </c>
      <c r="O84" s="29">
        <f>'FF Deposit'!O84+IF(Components!P84&gt;0,N84-Components!P84,N84*(1+EarningsRate))</f>
        <v>10146.870535223074</v>
      </c>
      <c r="P84" s="29">
        <f>'FF Deposit'!P84+IF(Components!Q84&gt;0,O84-Components!Q84,O84*(1+EarningsRate))</f>
        <v>12818.254794250006</v>
      </c>
      <c r="Q84" s="29">
        <f>'FF Deposit'!Q84+IF(Components!R84&gt;0,P84-Components!R84,P84*(1+EarningsRate))</f>
        <v>2919.7849633667429</v>
      </c>
      <c r="R84" s="29">
        <f>'FF Deposit'!R84+IF(Components!S84&gt;0,Q84-Components!S84,Q84*(1+EarningsRate))</f>
        <v>5900.6306167141811</v>
      </c>
      <c r="S84" s="29">
        <f>'FF Deposit'!S84+IF(Components!T84&gt;0,R84-Components!T84,R84*(1+EarningsRate))</f>
        <v>8944.0740287819153</v>
      </c>
      <c r="T84" s="29">
        <f>'FF Deposit'!T84+IF(Components!U84&gt;0,S84-Components!U84,S84*(1+EarningsRate))</f>
        <v>12051.429752503072</v>
      </c>
      <c r="U84" s="29">
        <f>'FF Deposit'!U84+IF(Components!V84&gt;0,T84-Components!V84,T84*(1+EarningsRate))</f>
        <v>15224.039946422372</v>
      </c>
      <c r="V84" s="29">
        <f>'FF Deposit'!V84+IF(Components!W84&gt;0,U84-Components!W84,U84*(1+EarningsRate))</f>
        <v>3467.5799132372581</v>
      </c>
      <c r="W84" s="29">
        <f>'FF Deposit'!W84+IF(Components!X84&gt;0,V84-Components!X84,V84*(1+EarningsRate))</f>
        <v>7007.9390582301257</v>
      </c>
      <c r="X84" s="29">
        <f>'FF Deposit'!X84+IF(Components!Y84&gt;0,W84-Components!Y84,W84*(1+EarningsRate))</f>
        <v>10622.645745267844</v>
      </c>
      <c r="Y84" s="29">
        <f>'FF Deposit'!Y84+IF(Components!Z84&gt;0,X84-Components!Z84,X84*(1+EarningsRate))</f>
        <v>14313.261272733354</v>
      </c>
      <c r="Z84" s="29">
        <f>'FF Deposit'!Z84+IF(Components!AA84&gt;0,Y84-Components!AA84,Y84*(1+EarningsRate))</f>
        <v>18081.379726275642</v>
      </c>
      <c r="AA84" s="29">
        <f>'FF Deposit'!AA84+IF(Components!AB84&gt;0,Z84-Components!AB84,Z84*(1+EarningsRate))</f>
        <v>4118.6528568576141</v>
      </c>
      <c r="AB84" s="29">
        <f>'FF Deposit'!AB84+IF(Components!AC84&gt;0,AA84-Components!AC84,AA84*(1+EarningsRate))</f>
        <v>8323.4176974335969</v>
      </c>
      <c r="AC84" s="29">
        <f>'FF Deposit'!AC84+IF(Components!AD84&gt;0,AB84-Components!AD84,AB84*(1+EarningsRate))</f>
        <v>12616.482599661675</v>
      </c>
      <c r="AD84" s="29">
        <f>'FF Deposit'!AD84+IF(Components!AE84&gt;0,AC84-Components!AE84,AC84*(1+EarningsRate))</f>
        <v>16999.701864836541</v>
      </c>
      <c r="AE84" s="29">
        <f>'FF Deposit'!AE84+IF(Components!AF84&gt;0,AD84-Components!AF84,AD84*(1+EarningsRate))</f>
        <v>21474.968734580078</v>
      </c>
      <c r="AF84" s="29">
        <f>'FF Deposit'!AF84+IF(Components!AG84&gt;0,AE84-Components!AG84,AE84*(1+EarningsRate))</f>
        <v>4891.2864426298465</v>
      </c>
      <c r="AG84" s="29">
        <f>'FF Deposit'!AG84+IF(Components!AH84&gt;0,AF84-Components!AH84,AF84*(1+EarningsRate))</f>
        <v>9885.3211659748413</v>
      </c>
      <c r="AH84" s="29">
        <f>'FF Deposit'!AH84+IF(Components!AI84&gt;0,AG84-Components!AI84,AG84*(1+EarningsRate))</f>
        <v>14984.230618510082</v>
      </c>
      <c r="AI84" s="29">
        <f>'FF Deposit'!AI84+IF(Components!AJ84&gt;0,AH84-Components!AJ84,AH84*(1+EarningsRate))</f>
        <v>20190.217169548563</v>
      </c>
      <c r="AJ84" s="29">
        <f>'FF Deposit'!AJ84+IF(Components!AK84&gt;0,AI84-Components!AK84,AI84*(1+EarningsRate))</f>
        <v>25505.52943815885</v>
      </c>
      <c r="AK84" s="29">
        <f>'FF Deposit'!AK84+IF(Components!AL84&gt;0,AJ84-Components!AL84,AJ84*(1+EarningsRate))</f>
        <v>5808.9799369489501</v>
      </c>
      <c r="AL84" s="29">
        <f>'FF Deposit'!AL84+IF(Components!AM84&gt;0,AK84-Components!AM84,AK84*(1+EarningsRate))</f>
        <v>11740.419014414978</v>
      </c>
      <c r="AM84" s="29">
        <f>'FF Deposit'!AM84+IF(Components!AN84&gt;0,AL84-Components!AN84,AL84*(1+EarningsRate))</f>
        <v>17796.418312507791</v>
      </c>
      <c r="AN84" s="29">
        <f>'FF Deposit'!AN84+IF(Components!AO84&gt;0,AM84-Components!AO84,AM84*(1+EarningsRate))</f>
        <v>23979.593595860555</v>
      </c>
      <c r="AO84" s="29">
        <f>'FF Deposit'!AO84+IF(Components!AP84&gt;0,AN84-Components!AP84,AN84*(1+EarningsRate))</f>
        <v>30292.615560163722</v>
      </c>
      <c r="AP84" s="53"/>
    </row>
    <row r="85" spans="1:42" s="1" customFormat="1">
      <c r="A85" s="220" t="str">
        <f>Components!B85</f>
        <v>Restaurant</v>
      </c>
      <c r="B85" s="220" t="str">
        <f>Components!C85</f>
        <v>Banquet Room chairs</v>
      </c>
      <c r="C85" s="211"/>
      <c r="D85" s="211"/>
      <c r="E85" s="82">
        <f>AnalysisYear-Components!I85-Components!J85</f>
        <v>8</v>
      </c>
      <c r="F85" s="82">
        <f>IF(H85&lt;0,Components!K85-MOD(AnalysisYear-Components!I85-Components!J85,Components!K85),AnalysisYear-Components!I85-Components!J85)</f>
        <v>8</v>
      </c>
      <c r="G85" s="11">
        <f>ROUND(Components!H85*IF(H85&lt;0,((1+InflationRate)^F85),((1+InflationRate)^H85)),0)</f>
        <v>6541</v>
      </c>
      <c r="H85" s="82">
        <f>IF(E85&gt;=0,Components!K85-E85,E85)</f>
        <v>2</v>
      </c>
      <c r="I85" s="82"/>
      <c r="J85" s="211"/>
      <c r="K85" s="29">
        <f>IF($H85&gt;0,FV(EarningsRate,F85,-'FF Deposit'!L85,1),Components!$H85)</f>
        <v>5120.6731031430836</v>
      </c>
      <c r="L85" s="29">
        <f>'FF Deposit'!L85+IF(Components!M85&gt;0,K85-Components!M85,K85*(1+EarningsRate))</f>
        <v>5822.8482138053532</v>
      </c>
      <c r="M85" s="29">
        <f>'FF Deposit'!M85+IF(Components!N85&gt;0,L85-Components!N85,L85*(1+EarningsRate))</f>
        <v>6539.7690017915302</v>
      </c>
      <c r="N85" s="29">
        <f>'FF Deposit'!N85+IF(Components!O85&gt;0,M85-Components!O85,M85*(1+EarningsRate))</f>
        <v>837.56882484109644</v>
      </c>
      <c r="O85" s="29">
        <f>'FF Deposit'!O85+IF(Components!P85&gt;0,N85-Components!P85,N85*(1+EarningsRate))</f>
        <v>1693.9575932123257</v>
      </c>
      <c r="P85" s="29">
        <f>'FF Deposit'!P85+IF(Components!Q85&gt;0,O85-Components!Q85,O85*(1+EarningsRate))</f>
        <v>2568.3305257193506</v>
      </c>
      <c r="Q85" s="29">
        <f>'FF Deposit'!Q85+IF(Components!R85&gt;0,P85-Components!R85,P85*(1+EarningsRate))</f>
        <v>3461.0652898090229</v>
      </c>
      <c r="R85" s="29">
        <f>'FF Deposit'!R85+IF(Components!S85&gt;0,Q85-Components!S85,Q85*(1+EarningsRate))</f>
        <v>4372.5474839445778</v>
      </c>
      <c r="S85" s="29">
        <f>'FF Deposit'!S85+IF(Components!T85&gt;0,R85-Components!T85,R85*(1+EarningsRate))</f>
        <v>5303.1708041569791</v>
      </c>
      <c r="T85" s="29">
        <f>'FF Deposit'!T85+IF(Components!U85&gt;0,S85-Components!U85,S85*(1+EarningsRate))</f>
        <v>6253.3372140938409</v>
      </c>
      <c r="U85" s="29">
        <f>'FF Deposit'!U85+IF(Components!V85&gt;0,T85-Components!V85,T85*(1+EarningsRate))</f>
        <v>7223.4571186393769</v>
      </c>
      <c r="V85" s="29">
        <f>'FF Deposit'!V85+IF(Components!W85&gt;0,U85-Components!W85,U85*(1+EarningsRate))</f>
        <v>8213.9495411803691</v>
      </c>
      <c r="W85" s="29">
        <f>'FF Deposit'!W85+IF(Components!X85&gt;0,V85-Components!X85,V85*(1+EarningsRate))</f>
        <v>9225.2423045947235</v>
      </c>
      <c r="X85" s="29">
        <f>'FF Deposit'!X85+IF(Components!Y85&gt;0,W85-Components!Y85,W85*(1+EarningsRate))</f>
        <v>1181.4873691534067</v>
      </c>
      <c r="Y85" s="29">
        <f>'FF Deposit'!Y85+IF(Components!Z85&gt;0,X85-Components!Z85,X85*(1+EarningsRate))</f>
        <v>2389.5436684643114</v>
      </c>
      <c r="Z85" s="29">
        <f>'FF Deposit'!Z85+IF(Components!AA85&gt;0,Y85-Components!AA85,Y85*(1+EarningsRate))</f>
        <v>3622.9691500607451</v>
      </c>
      <c r="AA85" s="29">
        <f>'FF Deposit'!AA85+IF(Components!AB85&gt;0,Z85-Components!AB85,Z85*(1+EarningsRate))</f>
        <v>4882.2965667707031</v>
      </c>
      <c r="AB85" s="29">
        <f>'FF Deposit'!AB85+IF(Components!AC85&gt;0,AA85-Components!AC85,AA85*(1+EarningsRate))</f>
        <v>6168.0698592315703</v>
      </c>
      <c r="AC85" s="29">
        <f>'FF Deposit'!AC85+IF(Components!AD85&gt;0,AB85-Components!AD85,AB85*(1+EarningsRate))</f>
        <v>7480.844390834116</v>
      </c>
      <c r="AD85" s="29">
        <f>'FF Deposit'!AD85+IF(Components!AE85&gt;0,AC85-Components!AE85,AC85*(1+EarningsRate))</f>
        <v>8821.1871876003152</v>
      </c>
      <c r="AE85" s="29">
        <f>'FF Deposit'!AE85+IF(Components!AF85&gt;0,AD85-Components!AF85,AD85*(1+EarningsRate))</f>
        <v>10189.677183098604</v>
      </c>
      <c r="AF85" s="29">
        <f>'FF Deposit'!AF85+IF(Components!AG85&gt;0,AE85-Components!AG85,AE85*(1+EarningsRate))</f>
        <v>11586.905468502357</v>
      </c>
      <c r="AG85" s="29">
        <f>'FF Deposit'!AG85+IF(Components!AH85&gt;0,AF85-Components!AH85,AF85*(1+EarningsRate))</f>
        <v>13013.475547899588</v>
      </c>
      <c r="AH85" s="29">
        <f>'FF Deposit'!AH85+IF(Components!AI85&gt;0,AG85-Components!AI85,AG85*(1+EarningsRate))</f>
        <v>1666.6115357933593</v>
      </c>
      <c r="AI85" s="29">
        <f>'FF Deposit'!AI85+IF(Components!AJ85&gt;0,AH85-Components!AJ85,AH85*(1+EarningsRate))</f>
        <v>3370.7463659387904</v>
      </c>
      <c r="AJ85" s="29">
        <f>'FF Deposit'!AJ85+IF(Components!AK85&gt;0,AI85-Components!AK85,AI85*(1+EarningsRate))</f>
        <v>5110.6680275172757</v>
      </c>
      <c r="AK85" s="29">
        <f>'FF Deposit'!AK85+IF(Components!AL85&gt;0,AJ85-Components!AL85,AJ85*(1+EarningsRate))</f>
        <v>6887.1280439889088</v>
      </c>
      <c r="AL85" s="29">
        <f>'FF Deposit'!AL85+IF(Components!AM85&gt;0,AK85-Components!AM85,AK85*(1+EarningsRate))</f>
        <v>8700.8937208064453</v>
      </c>
      <c r="AM85" s="29">
        <f>'FF Deposit'!AM85+IF(Components!AN85&gt;0,AL85-Components!AN85,AL85*(1+EarningsRate))</f>
        <v>10552.748476837151</v>
      </c>
      <c r="AN85" s="29">
        <f>'FF Deposit'!AN85+IF(Components!AO85&gt;0,AM85-Components!AO85,AM85*(1+EarningsRate))</f>
        <v>12443.492182744501</v>
      </c>
      <c r="AO85" s="29">
        <f>'FF Deposit'!AO85+IF(Components!AP85&gt;0,AN85-Components!AP85,AN85*(1+EarningsRate))</f>
        <v>14373.941506475905</v>
      </c>
      <c r="AP85" s="53"/>
    </row>
    <row r="86" spans="1:42" s="1" customFormat="1">
      <c r="A86" s="220" t="str">
        <f>Components!B86</f>
        <v>Restaurant</v>
      </c>
      <c r="B86" s="220" t="str">
        <f>Components!C86</f>
        <v>Chef's Serving Table</v>
      </c>
      <c r="C86" s="211"/>
      <c r="D86" s="211"/>
      <c r="E86" s="82">
        <f>AnalysisYear-Components!I86-Components!J86</f>
        <v>1</v>
      </c>
      <c r="F86" s="82">
        <f>IF(H86&lt;0,Components!K86-MOD(AnalysisYear-Components!I86-Components!J86,Components!K86),AnalysisYear-Components!I86-Components!J86)</f>
        <v>1</v>
      </c>
      <c r="G86" s="11">
        <f>ROUND(Components!H86*IF(H86&lt;0,((1+InflationRate)^F86),((1+InflationRate)^H86)),0)</f>
        <v>89540</v>
      </c>
      <c r="H86" s="82">
        <f>IF(E86&gt;=0,Components!K86-E86,E86)</f>
        <v>19</v>
      </c>
      <c r="I86" s="82"/>
      <c r="J86" s="211"/>
      <c r="K86" s="29">
        <f>IF($H86&gt;0,FV(EarningsRate,F86,-'FF Deposit'!L86,1),Components!$H86)</f>
        <v>3647.5983046508604</v>
      </c>
      <c r="L86" s="29">
        <f>'FF Deposit'!L86+IF(Components!M86&gt;0,K86-Components!M86,K86*(1+EarningsRate))</f>
        <v>7372.8171736994045</v>
      </c>
      <c r="M86" s="29">
        <f>'FF Deposit'!M86+IF(Components!N86&gt;0,L86-Components!N86,L86*(1+EarningsRate))</f>
        <v>11176.265638997967</v>
      </c>
      <c r="N86" s="29">
        <f>'FF Deposit'!N86+IF(Components!O86&gt;0,M86-Components!O86,M86*(1+EarningsRate))</f>
        <v>15059.586522067802</v>
      </c>
      <c r="O86" s="29">
        <f>'FF Deposit'!O86+IF(Components!P86&gt;0,N86-Components!P86,N86*(1+EarningsRate))</f>
        <v>19024.457143682102</v>
      </c>
      <c r="P86" s="29">
        <f>'FF Deposit'!P86+IF(Components!Q86&gt;0,O86-Components!Q86,O86*(1+EarningsRate))</f>
        <v>23072.590048350303</v>
      </c>
      <c r="Q86" s="29">
        <f>'FF Deposit'!Q86+IF(Components!R86&gt;0,P86-Components!R86,P86*(1+EarningsRate))</f>
        <v>27205.733744016536</v>
      </c>
      <c r="R86" s="29">
        <f>'FF Deposit'!R86+IF(Components!S86&gt;0,Q86-Components!S86,Q86*(1+EarningsRate))</f>
        <v>31425.673457291759</v>
      </c>
      <c r="S86" s="29">
        <f>'FF Deposit'!S86+IF(Components!T86&gt;0,R86-Components!T86,R86*(1+EarningsRate))</f>
        <v>35734.231904545763</v>
      </c>
      <c r="T86" s="29">
        <f>'FF Deposit'!T86+IF(Components!U86&gt;0,S86-Components!U86,S86*(1+EarningsRate))</f>
        <v>40133.270079192102</v>
      </c>
      <c r="U86" s="29">
        <f>'FF Deposit'!U86+IF(Components!V86&gt;0,T86-Components!V86,T86*(1+EarningsRate))</f>
        <v>44624.688055506012</v>
      </c>
      <c r="V86" s="29">
        <f>'FF Deposit'!V86+IF(Components!W86&gt;0,U86-Components!W86,U86*(1+EarningsRate))</f>
        <v>49210.425809322514</v>
      </c>
      <c r="W86" s="29">
        <f>'FF Deposit'!W86+IF(Components!X86&gt;0,V86-Components!X86,V86*(1+EarningsRate))</f>
        <v>53892.464055969162</v>
      </c>
      <c r="X86" s="29">
        <f>'FF Deposit'!X86+IF(Components!Y86&gt;0,W86-Components!Y86,W86*(1+EarningsRate))</f>
        <v>58672.825105795389</v>
      </c>
      <c r="Y86" s="29">
        <f>'FF Deposit'!Y86+IF(Components!Z86&gt;0,X86-Components!Z86,X86*(1+EarningsRate))</f>
        <v>63553.573737667968</v>
      </c>
      <c r="Z86" s="29">
        <f>'FF Deposit'!Z86+IF(Components!AA86&gt;0,Y86-Components!AA86,Y86*(1+EarningsRate))</f>
        <v>68536.818090809858</v>
      </c>
      <c r="AA86" s="29">
        <f>'FF Deposit'!AA86+IF(Components!AB86&gt;0,Z86-Components!AB86,Z86*(1+EarningsRate))</f>
        <v>73624.710575367732</v>
      </c>
      <c r="AB86" s="29">
        <f>'FF Deposit'!AB86+IF(Components!AC86&gt;0,AA86-Components!AC86,AA86*(1+EarningsRate))</f>
        <v>78819.448802101324</v>
      </c>
      <c r="AC86" s="29">
        <f>'FF Deposit'!AC86+IF(Components!AD86&gt;0,AB86-Components!AD86,AB86*(1+EarningsRate))</f>
        <v>84123.276531596319</v>
      </c>
      <c r="AD86" s="29">
        <f>'FF Deposit'!AD86+IF(Components!AE86&gt;0,AC86-Components!AE86,AC86*(1+EarningsRate))</f>
        <v>89538.484643410702</v>
      </c>
      <c r="AE86" s="29">
        <f>'FF Deposit'!AE86+IF(Components!AF86&gt;0,AD86-Components!AF86,AD86*(1+EarningsRate))</f>
        <v>7258.4667028315034</v>
      </c>
      <c r="AF86" s="29">
        <f>'FF Deposit'!AF86+IF(Components!AG86&gt;0,AE86-Components!AG86,AE86*(1+EarningsRate))</f>
        <v>14670.876563011767</v>
      </c>
      <c r="AG86" s="29">
        <f>'FF Deposit'!AG86+IF(Components!AH86&gt;0,AF86-Components!AH86,AF86*(1+EarningsRate))</f>
        <v>22238.947030255815</v>
      </c>
      <c r="AH86" s="29">
        <f>'FF Deposit'!AH86+IF(Components!AI86&gt;0,AG86-Components!AI86,AG86*(1+EarningsRate))</f>
        <v>29965.946977311985</v>
      </c>
      <c r="AI86" s="29">
        <f>'FF Deposit'!AI86+IF(Components!AJ86&gt;0,AH86-Components!AJ86,AH86*(1+EarningsRate))</f>
        <v>37855.213923256335</v>
      </c>
      <c r="AJ86" s="29">
        <f>'FF Deposit'!AJ86+IF(Components!AK86&gt;0,AI86-Components!AK86,AI86*(1+EarningsRate))</f>
        <v>45910.155475065512</v>
      </c>
      <c r="AK86" s="29">
        <f>'FF Deposit'!AK86+IF(Components!AL86&gt;0,AJ86-Components!AL86,AJ86*(1+EarningsRate))</f>
        <v>54134.250799462687</v>
      </c>
      <c r="AL86" s="29">
        <f>'FF Deposit'!AL86+IF(Components!AM86&gt;0,AK86-Components!AM86,AK86*(1+EarningsRate))</f>
        <v>62531.052125672199</v>
      </c>
      <c r="AM86" s="29">
        <f>'FF Deposit'!AM86+IF(Components!AN86&gt;0,AL86-Components!AN86,AL86*(1+EarningsRate))</f>
        <v>71104.186279732108</v>
      </c>
      <c r="AN86" s="29">
        <f>'FF Deposit'!AN86+IF(Components!AO86&gt;0,AM86-Components!AO86,AM86*(1+EarningsRate))</f>
        <v>79857.356251027275</v>
      </c>
      <c r="AO86" s="29">
        <f>'FF Deposit'!AO86+IF(Components!AP86&gt;0,AN86-Components!AP86,AN86*(1+EarningsRate))</f>
        <v>88794.342791719639</v>
      </c>
      <c r="AP86" s="53"/>
    </row>
    <row r="87" spans="1:42" s="1" customFormat="1">
      <c r="A87" s="220" t="str">
        <f>Components!B87</f>
        <v>Restaurant</v>
      </c>
      <c r="B87" s="220" t="str">
        <f>Components!C87</f>
        <v xml:space="preserve">Dining Room chairs </v>
      </c>
      <c r="C87" s="211"/>
      <c r="D87" s="211"/>
      <c r="E87" s="82">
        <f>AnalysisYear-Components!I87-Components!J87</f>
        <v>8</v>
      </c>
      <c r="F87" s="82">
        <f>IF(H87&lt;0,Components!K87-MOD(AnalysisYear-Components!I87-Components!J87,Components!K87),AnalysisYear-Components!I87-Components!J87)</f>
        <v>8</v>
      </c>
      <c r="G87" s="11">
        <f>ROUND(Components!H87*IF(H87&lt;0,((1+InflationRate)^F87),((1+InflationRate)^H87)),0)</f>
        <v>35182</v>
      </c>
      <c r="H87" s="82">
        <f>IF(E87&gt;=0,Components!K87-E87,E87)</f>
        <v>7</v>
      </c>
      <c r="I87" s="82"/>
      <c r="J87" s="211"/>
      <c r="K87" s="29">
        <f>IF($H87&gt;0,FV(EarningsRate,F87,-'FF Deposit'!L87,1),Components!$H87)</f>
        <v>17395.72953134053</v>
      </c>
      <c r="L87" s="29">
        <f>'FF Deposit'!L87+IF(Components!M87&gt;0,K87-Components!M87,K87*(1+EarningsRate))</f>
        <v>19780.799846807196</v>
      </c>
      <c r="M87" s="29">
        <f>'FF Deposit'!M87+IF(Components!N87&gt;0,L87-Components!N87,L87*(1+EarningsRate))</f>
        <v>22215.95663889866</v>
      </c>
      <c r="N87" s="29">
        <f>'FF Deposit'!N87+IF(Components!O87&gt;0,M87-Components!O87,M87*(1+EarningsRate))</f>
        <v>24702.251723624046</v>
      </c>
      <c r="O87" s="29">
        <f>'FF Deposit'!O87+IF(Components!P87&gt;0,N87-Components!P87,N87*(1+EarningsRate))</f>
        <v>27240.759005128664</v>
      </c>
      <c r="P87" s="29">
        <f>'FF Deposit'!P87+IF(Components!Q87&gt;0,O87-Components!Q87,O87*(1+EarningsRate))</f>
        <v>29832.57493954488</v>
      </c>
      <c r="Q87" s="29">
        <f>'FF Deposit'!Q87+IF(Components!R87&gt;0,P87-Components!R87,P87*(1+EarningsRate))</f>
        <v>32478.819008583836</v>
      </c>
      <c r="R87" s="29">
        <f>'FF Deposit'!R87+IF(Components!S87&gt;0,Q87-Components!S87,Q87*(1+EarningsRate))</f>
        <v>35180.634203072608</v>
      </c>
      <c r="S87" s="29">
        <f>'FF Deposit'!S87+IF(Components!T87&gt;0,R87-Components!T87,R87*(1+EarningsRate))</f>
        <v>3382.4367496127184</v>
      </c>
      <c r="T87" s="29">
        <f>'FF Deposit'!T87+IF(Components!U87&gt;0,S87-Components!U87,S87*(1+EarningsRate))</f>
        <v>6837.2704678946957</v>
      </c>
      <c r="U87" s="29">
        <f>'FF Deposit'!U87+IF(Components!V87&gt;0,T87-Components!V87,T87*(1+EarningsRate))</f>
        <v>10364.655694260593</v>
      </c>
      <c r="V87" s="29">
        <f>'FF Deposit'!V87+IF(Components!W87&gt;0,U87-Components!W87,U87*(1+EarningsRate))</f>
        <v>13966.116010380174</v>
      </c>
      <c r="W87" s="29">
        <f>'FF Deposit'!W87+IF(Components!X87&gt;0,V87-Components!X87,V87*(1+EarningsRate))</f>
        <v>17643.206993138268</v>
      </c>
      <c r="X87" s="29">
        <f>'FF Deposit'!X87+IF(Components!Y87&gt;0,W87-Components!Y87,W87*(1+EarningsRate))</f>
        <v>21397.516886534282</v>
      </c>
      <c r="Y87" s="29">
        <f>'FF Deposit'!Y87+IF(Components!Z87&gt;0,X87-Components!Z87,X87*(1+EarningsRate))</f>
        <v>25230.667287691613</v>
      </c>
      <c r="Z87" s="29">
        <f>'FF Deposit'!Z87+IF(Components!AA87&gt;0,Y87-Components!AA87,Y87*(1+EarningsRate))</f>
        <v>29144.313847273246</v>
      </c>
      <c r="AA87" s="29">
        <f>'FF Deposit'!AA87+IF(Components!AB87&gt;0,Z87-Components!AB87,Z87*(1+EarningsRate))</f>
        <v>33140.146984606094</v>
      </c>
      <c r="AB87" s="29">
        <f>'FF Deposit'!AB87+IF(Components!AC87&gt;0,AA87-Components!AC87,AA87*(1+EarningsRate))</f>
        <v>37219.892617822923</v>
      </c>
      <c r="AC87" s="29">
        <f>'FF Deposit'!AC87+IF(Components!AD87&gt;0,AB87-Components!AD87,AB87*(1+EarningsRate))</f>
        <v>41385.312909337306</v>
      </c>
      <c r="AD87" s="29">
        <f>'FF Deposit'!AD87+IF(Components!AE87&gt;0,AC87-Components!AE87,AC87*(1+EarningsRate))</f>
        <v>45638.20702697349</v>
      </c>
      <c r="AE87" s="29">
        <f>'FF Deposit'!AE87+IF(Components!AF87&gt;0,AD87-Components!AF87,AD87*(1+EarningsRate))</f>
        <v>49980.411921080035</v>
      </c>
      <c r="AF87" s="29">
        <f>'FF Deposit'!AF87+IF(Components!AG87&gt;0,AE87-Components!AG87,AE87*(1+EarningsRate))</f>
        <v>54413.803117962816</v>
      </c>
      <c r="AG87" s="29">
        <f>'FF Deposit'!AG87+IF(Components!AH87&gt;0,AF87-Components!AH87,AF87*(1+EarningsRate))</f>
        <v>58940.29552998014</v>
      </c>
      <c r="AH87" s="29">
        <f>'FF Deposit'!AH87+IF(Components!AI87&gt;0,AG87-Components!AI87,AG87*(1+EarningsRate))</f>
        <v>5666.4295616074978</v>
      </c>
      <c r="AI87" s="29">
        <f>'FF Deposit'!AI87+IF(Components!AJ87&gt;0,AH87-Components!AJ87,AH87*(1+EarningsRate))</f>
        <v>11454.558614028614</v>
      </c>
      <c r="AJ87" s="29">
        <f>'FF Deposit'!AJ87+IF(Components!AK87&gt;0,AI87-Components!AK87,AI87*(1+EarningsRate))</f>
        <v>17364.238376550573</v>
      </c>
      <c r="AK87" s="29">
        <f>'FF Deposit'!AK87+IF(Components!AL87&gt;0,AJ87-Components!AL87,AJ87*(1+EarningsRate))</f>
        <v>23398.021414085495</v>
      </c>
      <c r="AL87" s="29">
        <f>'FF Deposit'!AL87+IF(Components!AM87&gt;0,AK87-Components!AM87,AK87*(1+EarningsRate))</f>
        <v>29558.513895408643</v>
      </c>
      <c r="AM87" s="29">
        <f>'FF Deposit'!AM87+IF(Components!AN87&gt;0,AL87-Components!AN87,AL87*(1+EarningsRate))</f>
        <v>35848.37671883958</v>
      </c>
      <c r="AN87" s="29">
        <f>'FF Deposit'!AN87+IF(Components!AO87&gt;0,AM87-Components!AO87,AM87*(1+EarningsRate))</f>
        <v>42270.326661562562</v>
      </c>
      <c r="AO87" s="29">
        <f>'FF Deposit'!AO87+IF(Components!AP87&gt;0,AN87-Components!AP87,AN87*(1+EarningsRate))</f>
        <v>48827.137553082728</v>
      </c>
      <c r="AP87" s="53"/>
    </row>
    <row r="88" spans="1:42" s="1" customFormat="1">
      <c r="A88" s="220" t="str">
        <f>Components!B88</f>
        <v>Restaurant</v>
      </c>
      <c r="B88" s="220" t="str">
        <f>Components!C88</f>
        <v>Freezer Evaporative Coil</v>
      </c>
      <c r="C88" s="211"/>
      <c r="D88" s="211"/>
      <c r="E88" s="82">
        <f>AnalysisYear-Components!I88-Components!J88</f>
        <v>8</v>
      </c>
      <c r="F88" s="82">
        <f>IF(H88&lt;0,Components!K88-MOD(AnalysisYear-Components!I88-Components!J88,Components!K88),AnalysisYear-Components!I88-Components!J88)</f>
        <v>8</v>
      </c>
      <c r="G88" s="11">
        <f>ROUND(Components!H88*IF(H88&lt;0,((1+InflationRate)^F88),((1+InflationRate)^H88)),0)</f>
        <v>11904</v>
      </c>
      <c r="H88" s="82">
        <f>IF(E88&gt;=0,Components!K88-E88,E88)</f>
        <v>7</v>
      </c>
      <c r="I88" s="82"/>
      <c r="J88" s="211"/>
      <c r="K88" s="29">
        <f>IF($H88&gt;0,FV(EarningsRate,F88,-'FF Deposit'!L88,1),Components!$H88)</f>
        <v>5885.1479678730975</v>
      </c>
      <c r="L88" s="29">
        <f>'FF Deposit'!L88+IF(Components!M88&gt;0,K88-Components!M88,K88*(1+EarningsRate))</f>
        <v>6692.1316463471048</v>
      </c>
      <c r="M88" s="29">
        <f>'FF Deposit'!M88+IF(Components!N88&gt;0,L88-Components!N88,L88*(1+EarningsRate))</f>
        <v>7516.0619820690654</v>
      </c>
      <c r="N88" s="29">
        <f>'FF Deposit'!N88+IF(Components!O88&gt;0,M88-Components!O88,M88*(1+EarningsRate))</f>
        <v>8357.2948548411878</v>
      </c>
      <c r="O88" s="29">
        <f>'FF Deposit'!O88+IF(Components!P88&gt;0,N88-Components!P88,N88*(1+EarningsRate))</f>
        <v>9216.1936179415243</v>
      </c>
      <c r="P88" s="29">
        <f>'FF Deposit'!P88+IF(Components!Q88&gt;0,O88-Components!Q88,O88*(1+EarningsRate))</f>
        <v>10093.129255066968</v>
      </c>
      <c r="Q88" s="29">
        <f>'FF Deposit'!Q88+IF(Components!R88&gt;0,P88-Components!R88,P88*(1+EarningsRate))</f>
        <v>10988.480540572045</v>
      </c>
      <c r="R88" s="29">
        <f>'FF Deposit'!R88+IF(Components!S88&gt;0,Q88-Components!S88,Q88*(1+EarningsRate))</f>
        <v>11902.63420307273</v>
      </c>
      <c r="S88" s="29">
        <f>'FF Deposit'!S88+IF(Components!T88&gt;0,R88-Components!T88,R88*(1+EarningsRate))</f>
        <v>1143.5601741378621</v>
      </c>
      <c r="T88" s="29">
        <f>'FF Deposit'!T88+IF(Components!U88&gt;0,S88-Components!U88,S88*(1+EarningsRate))</f>
        <v>2312.500908859889</v>
      </c>
      <c r="U88" s="29">
        <f>'FF Deposit'!U88+IF(Components!V88&gt;0,T88-Components!V88,T88*(1+EarningsRate))</f>
        <v>3505.9893990110786</v>
      </c>
      <c r="V88" s="29">
        <f>'FF Deposit'!V88+IF(Components!W88&gt;0,U88-Components!W88,U88*(1+EarningsRate))</f>
        <v>4724.541147455443</v>
      </c>
      <c r="W88" s="29">
        <f>'FF Deposit'!W88+IF(Components!X88&gt;0,V88-Components!X88,V88*(1+EarningsRate))</f>
        <v>5968.6824826171387</v>
      </c>
      <c r="X88" s="29">
        <f>'FF Deposit'!X88+IF(Components!Y88&gt;0,W88-Components!Y88,W88*(1+EarningsRate))</f>
        <v>7238.9507858172301</v>
      </c>
      <c r="Y88" s="29">
        <f>'FF Deposit'!Y88+IF(Components!Z88&gt;0,X88-Components!Z88,X88*(1+EarningsRate))</f>
        <v>8535.8947233845229</v>
      </c>
      <c r="Z88" s="29">
        <f>'FF Deposit'!Z88+IF(Components!AA88&gt;0,Y88-Components!AA88,Y88*(1+EarningsRate))</f>
        <v>9860.0744836407284</v>
      </c>
      <c r="AA88" s="29">
        <f>'FF Deposit'!AA88+IF(Components!AB88&gt;0,Z88-Components!AB88,Z88*(1+EarningsRate))</f>
        <v>11212.062018862314</v>
      </c>
      <c r="AB88" s="29">
        <f>'FF Deposit'!AB88+IF(Components!AC88&gt;0,AA88-Components!AC88,AA88*(1+EarningsRate))</f>
        <v>12592.441292323552</v>
      </c>
      <c r="AC88" s="29">
        <f>'FF Deposit'!AC88+IF(Components!AD88&gt;0,AB88-Components!AD88,AB88*(1+EarningsRate))</f>
        <v>14001.808530527476</v>
      </c>
      <c r="AD88" s="29">
        <f>'FF Deposit'!AD88+IF(Components!AE88&gt;0,AC88-Components!AE88,AC88*(1+EarningsRate))</f>
        <v>15440.772480733684</v>
      </c>
      <c r="AE88" s="29">
        <f>'FF Deposit'!AE88+IF(Components!AF88&gt;0,AD88-Components!AF88,AD88*(1+EarningsRate))</f>
        <v>16909.954673894223</v>
      </c>
      <c r="AF88" s="29">
        <f>'FF Deposit'!AF88+IF(Components!AG88&gt;0,AE88-Components!AG88,AE88*(1+EarningsRate))</f>
        <v>18409.989693111133</v>
      </c>
      <c r="AG88" s="29">
        <f>'FF Deposit'!AG88+IF(Components!AH88&gt;0,AF88-Components!AH88,AF88*(1+EarningsRate))</f>
        <v>19941.525447731598</v>
      </c>
      <c r="AH88" s="29">
        <f>'FF Deposit'!AH88+IF(Components!AI88&gt;0,AG88-Components!AI88,AG88*(1+EarningsRate))</f>
        <v>1916.6419330266181</v>
      </c>
      <c r="AI88" s="29">
        <f>'FF Deposit'!AI88+IF(Components!AJ88&gt;0,AH88-Components!AJ88,AH88*(1+EarningsRate))</f>
        <v>3875.0078989151971</v>
      </c>
      <c r="AJ88" s="29">
        <f>'FF Deposit'!AJ88+IF(Components!AK88&gt;0,AI88-Components!AK88,AI88*(1+EarningsRate))</f>
        <v>5874.4995500874365</v>
      </c>
      <c r="AK88" s="29">
        <f>'FF Deposit'!AK88+IF(Components!AL88&gt;0,AJ88-Components!AL88,AJ88*(1+EarningsRate))</f>
        <v>7915.9805259342929</v>
      </c>
      <c r="AL88" s="29">
        <f>'FF Deposit'!AL88+IF(Components!AM88&gt;0,AK88-Components!AM88,AK88*(1+EarningsRate))</f>
        <v>10000.332602273933</v>
      </c>
      <c r="AM88" s="29">
        <f>'FF Deposit'!AM88+IF(Components!AN88&gt;0,AL88-Components!AN88,AL88*(1+EarningsRate))</f>
        <v>12128.456072216704</v>
      </c>
      <c r="AN88" s="29">
        <f>'FF Deposit'!AN88+IF(Components!AO88&gt;0,AM88-Components!AO88,AM88*(1+EarningsRate))</f>
        <v>14301.270135028275</v>
      </c>
      <c r="AO88" s="29">
        <f>'FF Deposit'!AO88+IF(Components!AP88&gt;0,AN88-Components!AP88,AN88*(1+EarningsRate))</f>
        <v>16519.713293158886</v>
      </c>
      <c r="AP88" s="53"/>
    </row>
    <row r="89" spans="1:42" s="1" customFormat="1">
      <c r="A89" s="220" t="str">
        <f>Components!B89</f>
        <v>Restaurant</v>
      </c>
      <c r="B89" s="220" t="str">
        <f>Components!C89</f>
        <v>Front lanai</v>
      </c>
      <c r="C89" s="211"/>
      <c r="D89" s="211"/>
      <c r="E89" s="82">
        <f>AnalysisYear-Components!I89-Components!J89</f>
        <v>8</v>
      </c>
      <c r="F89" s="82">
        <f>IF(H89&lt;0,Components!K89-MOD(AnalysisYear-Components!I89-Components!J89,Components!K89),AnalysisYear-Components!I89-Components!J89)</f>
        <v>8</v>
      </c>
      <c r="G89" s="11">
        <f>ROUND(Components!H89*IF(H89&lt;0,((1+InflationRate)^F89),((1+InflationRate)^H89)),0)</f>
        <v>50299</v>
      </c>
      <c r="H89" s="82">
        <f>IF(E89&gt;=0,Components!K89-E89,E89)</f>
        <v>22</v>
      </c>
      <c r="I89" s="82"/>
      <c r="J89" s="211"/>
      <c r="K89" s="29">
        <f>IF($H89&gt;0,FV(EarningsRate,F89,-'FF Deposit'!L89,1),Components!$H89)</f>
        <v>10511.984354101427</v>
      </c>
      <c r="L89" s="29">
        <f>'FF Deposit'!L89+IF(Components!M89&gt;0,K89-Components!M89,K89*(1+EarningsRate))</f>
        <v>11953.301635304262</v>
      </c>
      <c r="M89" s="29">
        <f>'FF Deposit'!M89+IF(Components!N89&gt;0,L89-Components!N89,L89*(1+EarningsRate))</f>
        <v>13424.886579412358</v>
      </c>
      <c r="N89" s="29">
        <f>'FF Deposit'!N89+IF(Components!O89&gt;0,M89-Components!O89,M89*(1+EarningsRate))</f>
        <v>14927.374807346723</v>
      </c>
      <c r="O89" s="29">
        <f>'FF Deposit'!O89+IF(Components!P89&gt;0,N89-Components!P89,N89*(1+EarningsRate))</f>
        <v>16461.41528806771</v>
      </c>
      <c r="P89" s="29">
        <f>'FF Deposit'!P89+IF(Components!Q89&gt;0,O89-Components!Q89,O89*(1+EarningsRate))</f>
        <v>18027.670618883836</v>
      </c>
      <c r="Q89" s="29">
        <f>'FF Deposit'!Q89+IF(Components!R89&gt;0,P89-Components!R89,P89*(1+EarningsRate))</f>
        <v>19626.817311647101</v>
      </c>
      <c r="R89" s="29">
        <f>'FF Deposit'!R89+IF(Components!S89&gt;0,Q89-Components!S89,Q89*(1+EarningsRate))</f>
        <v>21259.546084958394</v>
      </c>
      <c r="S89" s="29">
        <f>'FF Deposit'!S89+IF(Components!T89&gt;0,R89-Components!T89,R89*(1+EarningsRate))</f>
        <v>22926.562162509224</v>
      </c>
      <c r="T89" s="29">
        <f>'FF Deposit'!T89+IF(Components!U89&gt;0,S89-Components!U89,S89*(1+EarningsRate))</f>
        <v>24628.58557768862</v>
      </c>
      <c r="U89" s="29">
        <f>'FF Deposit'!U89+IF(Components!V89&gt;0,T89-Components!V89,T89*(1+EarningsRate))</f>
        <v>26366.351484586783</v>
      </c>
      <c r="V89" s="29">
        <f>'FF Deposit'!V89+IF(Components!W89&gt;0,U89-Components!W89,U89*(1+EarningsRate))</f>
        <v>28140.610475529807</v>
      </c>
      <c r="W89" s="29">
        <f>'FF Deposit'!W89+IF(Components!X89&gt;0,V89-Components!X89,V89*(1+EarningsRate))</f>
        <v>29952.128905282636</v>
      </c>
      <c r="X89" s="29">
        <f>'FF Deposit'!X89+IF(Components!Y89&gt;0,W89-Components!Y89,W89*(1+EarningsRate))</f>
        <v>31801.689222060275</v>
      </c>
      <c r="Y89" s="29">
        <f>'FF Deposit'!Y89+IF(Components!Z89&gt;0,X89-Components!Z89,X89*(1+EarningsRate))</f>
        <v>33690.090305490245</v>
      </c>
      <c r="Z89" s="29">
        <f>'FF Deposit'!Z89+IF(Components!AA89&gt;0,Y89-Components!AA89,Y89*(1+EarningsRate))</f>
        <v>35618.147811672243</v>
      </c>
      <c r="AA89" s="29">
        <f>'FF Deposit'!AA89+IF(Components!AB89&gt;0,Z89-Components!AB89,Z89*(1+EarningsRate))</f>
        <v>37586.694525484068</v>
      </c>
      <c r="AB89" s="29">
        <f>'FF Deposit'!AB89+IF(Components!AC89&gt;0,AA89-Components!AC89,AA89*(1+EarningsRate))</f>
        <v>39596.580720285936</v>
      </c>
      <c r="AC89" s="29">
        <f>'FF Deposit'!AC89+IF(Components!AD89&gt;0,AB89-Components!AD89,AB89*(1+EarningsRate))</f>
        <v>41648.674525178649</v>
      </c>
      <c r="AD89" s="29">
        <f>'FF Deposit'!AD89+IF(Components!AE89&gt;0,AC89-Components!AE89,AC89*(1+EarningsRate))</f>
        <v>43743.862299974106</v>
      </c>
      <c r="AE89" s="29">
        <f>'FF Deposit'!AE89+IF(Components!AF89&gt;0,AD89-Components!AF89,AD89*(1+EarningsRate))</f>
        <v>45883.049018040263</v>
      </c>
      <c r="AF89" s="29">
        <f>'FF Deposit'!AF89+IF(Components!AG89&gt;0,AE89-Components!AG89,AE89*(1+EarningsRate))</f>
        <v>48067.158657185813</v>
      </c>
      <c r="AG89" s="29">
        <f>'FF Deposit'!AG89+IF(Components!AH89&gt;0,AF89-Components!AH89,AF89*(1+EarningsRate))</f>
        <v>50297.134598753422</v>
      </c>
      <c r="AH89" s="29">
        <f>'FF Deposit'!AH89+IF(Components!AI89&gt;0,AG89-Components!AI89,AG89*(1+EarningsRate))</f>
        <v>3424.0104684231374</v>
      </c>
      <c r="AI89" s="29">
        <f>'FF Deposit'!AI89+IF(Components!AJ89&gt;0,AH89-Components!AJ89,AH89*(1+EarningsRate))</f>
        <v>6921.7905579297385</v>
      </c>
      <c r="AJ89" s="29">
        <f>'FF Deposit'!AJ89+IF(Components!AK89&gt;0,AI89-Components!AK89,AI89*(1+EarningsRate))</f>
        <v>10493.024029315977</v>
      </c>
      <c r="AK89" s="29">
        <f>'FF Deposit'!AK89+IF(Components!AL89&gt;0,AJ89-Components!AL89,AJ89*(1+EarningsRate))</f>
        <v>14139.253403601326</v>
      </c>
      <c r="AL89" s="29">
        <f>'FF Deposit'!AL89+IF(Components!AM89&gt;0,AK89-Components!AM89,AK89*(1+EarningsRate))</f>
        <v>17862.053594746667</v>
      </c>
      <c r="AM89" s="29">
        <f>'FF Deposit'!AM89+IF(Components!AN89&gt;0,AL89-Components!AN89,AL89*(1+EarningsRate))</f>
        <v>21663.032589906059</v>
      </c>
      <c r="AN89" s="29">
        <f>'FF Deposit'!AN89+IF(Components!AO89&gt;0,AM89-Components!AO89,AM89*(1+EarningsRate))</f>
        <v>25543.832143963798</v>
      </c>
      <c r="AO89" s="29">
        <f>'FF Deposit'!AO89+IF(Components!AP89&gt;0,AN89-Components!AP89,AN89*(1+EarningsRate))</f>
        <v>29506.128488656752</v>
      </c>
      <c r="AP89" s="53"/>
    </row>
    <row r="90" spans="1:42" s="1" customFormat="1">
      <c r="A90" s="220" t="str">
        <f>Components!B90</f>
        <v>Restaurant</v>
      </c>
      <c r="B90" s="220" t="str">
        <f>Components!C90</f>
        <v>Pass through refrigerator</v>
      </c>
      <c r="C90" s="211"/>
      <c r="D90" s="211"/>
      <c r="E90" s="82">
        <f>AnalysisYear-Components!I90-Components!J90</f>
        <v>9</v>
      </c>
      <c r="F90" s="82">
        <f>IF(H90&lt;0,Components!K90-MOD(AnalysisYear-Components!I90-Components!J90,Components!K90),AnalysisYear-Components!I90-Components!J90)</f>
        <v>7</v>
      </c>
      <c r="G90" s="11">
        <f>ROUND(Components!H90*IF(H90&lt;0,((1+InflationRate)^F90),((1+InflationRate)^H90)),0)</f>
        <v>7082</v>
      </c>
      <c r="H90" s="82">
        <f>IF(E90&gt;=0,Components!K90-E90,E90)</f>
        <v>-1</v>
      </c>
      <c r="I90" s="82"/>
      <c r="J90" s="211"/>
      <c r="K90" s="29">
        <f>IF($H90&gt;0,FV(EarningsRate,F90,-'FF Deposit'!L90,1),Components!$H90)</f>
        <v>5566.23</v>
      </c>
      <c r="L90" s="29">
        <f>'FF Deposit'!L90+IF(Components!M90&gt;0,K90-Components!M90,K90*(1+EarningsRate))</f>
        <v>5683.1208299999989</v>
      </c>
      <c r="M90" s="29">
        <f>'FF Deposit'!M90+IF(Components!N90&gt;0,L90-Components!N90,L90*(1+EarningsRate))</f>
        <v>5802.4663674299982</v>
      </c>
      <c r="N90" s="29">
        <f>'FF Deposit'!N90+IF(Components!O90&gt;0,M90-Components!O90,M90*(1+EarningsRate))</f>
        <v>5924.3181611460277</v>
      </c>
      <c r="O90" s="29">
        <f>'FF Deposit'!O90+IF(Components!P90&gt;0,N90-Components!P90,N90*(1+EarningsRate))</f>
        <v>6048.728842530094</v>
      </c>
      <c r="P90" s="29">
        <f>'FF Deposit'!P90+IF(Components!Q90&gt;0,O90-Components!Q90,O90*(1+EarningsRate))</f>
        <v>6175.752148223225</v>
      </c>
      <c r="Q90" s="29">
        <f>'FF Deposit'!Q90+IF(Components!R90&gt;0,P90-Components!R90,P90*(1+EarningsRate))</f>
        <v>6305.4429433359119</v>
      </c>
      <c r="R90" s="29">
        <f>'FF Deposit'!R90+IF(Components!S90&gt;0,Q90-Components!S90,Q90*(1+EarningsRate))</f>
        <v>6437.8572451459659</v>
      </c>
      <c r="S90" s="29">
        <f>'FF Deposit'!S90+IF(Components!T90&gt;0,R90-Components!T90,R90*(1+EarningsRate))</f>
        <v>438.55281510376267</v>
      </c>
      <c r="T90" s="29">
        <f>'FF Deposit'!T90+IF(Components!U90&gt;0,S90-Components!U90,S90*(1+EarningsRate))</f>
        <v>1530.4579941787383</v>
      </c>
      <c r="U90" s="29">
        <f>'FF Deposit'!U90+IF(Components!V90&gt;0,T90-Components!V90,T90*(1+EarningsRate))</f>
        <v>2645.2931820142885</v>
      </c>
      <c r="V90" s="29">
        <f>'FF Deposit'!V90+IF(Components!W90&gt;0,U90-Components!W90,U90*(1+EarningsRate))</f>
        <v>3783.5399087943852</v>
      </c>
      <c r="W90" s="29">
        <f>'FF Deposit'!W90+IF(Components!X90&gt;0,V90-Components!X90,V90*(1+EarningsRate))</f>
        <v>4945.6898168368634</v>
      </c>
      <c r="X90" s="29">
        <f>'FF Deposit'!X90+IF(Components!Y90&gt;0,W90-Components!Y90,W90*(1+EarningsRate))</f>
        <v>6132.2448729482339</v>
      </c>
      <c r="Y90" s="29">
        <f>'FF Deposit'!Y90+IF(Components!Z90&gt;0,X90-Components!Z90,X90*(1+EarningsRate))</f>
        <v>7343.7175852379432</v>
      </c>
      <c r="Z90" s="29">
        <f>'FF Deposit'!Z90+IF(Components!AA90&gt;0,Y90-Components!AA90,Y90*(1+EarningsRate))</f>
        <v>8580.6312244857363</v>
      </c>
      <c r="AA90" s="29">
        <f>'FF Deposit'!AA90+IF(Components!AB90&gt;0,Z90-Components!AB90,Z90*(1+EarningsRate))</f>
        <v>681.23644756628619</v>
      </c>
      <c r="AB90" s="29">
        <f>'FF Deposit'!AB90+IF(Components!AC90&gt;0,AA90-Components!AC90,AA90*(1+EarningsRate))</f>
        <v>2121.1476360457282</v>
      </c>
      <c r="AC90" s="29">
        <f>'FF Deposit'!AC90+IF(Components!AD90&gt;0,AB90-Components!AD90,AB90*(1+EarningsRate))</f>
        <v>3591.296959483238</v>
      </c>
      <c r="AD90" s="29">
        <f>'FF Deposit'!AD90+IF(Components!AE90&gt;0,AC90-Components!AE90,AC90*(1+EarningsRate))</f>
        <v>5092.3194187129357</v>
      </c>
      <c r="AE90" s="29">
        <f>'FF Deposit'!AE90+IF(Components!AF90&gt;0,AD90-Components!AF90,AD90*(1+EarningsRate))</f>
        <v>6624.8633495864569</v>
      </c>
      <c r="AF90" s="29">
        <f>'FF Deposit'!AF90+IF(Components!AG90&gt;0,AE90-Components!AG90,AE90*(1+EarningsRate))</f>
        <v>8189.5907030083217</v>
      </c>
      <c r="AG90" s="29">
        <f>'FF Deposit'!AG90+IF(Components!AH90&gt;0,AF90-Components!AH90,AF90*(1+EarningsRate))</f>
        <v>9787.177330852046</v>
      </c>
      <c r="AH90" s="29">
        <f>'FF Deposit'!AH90+IF(Components!AI90&gt;0,AG90-Components!AI90,AG90*(1+EarningsRate))</f>
        <v>11418.313277880487</v>
      </c>
      <c r="AI90" s="29">
        <f>'FF Deposit'!AI90+IF(Components!AJ90&gt;0,AH90-Components!AJ90,AH90*(1+EarningsRate))</f>
        <v>1015.6786547629692</v>
      </c>
      <c r="AJ90" s="29">
        <f>'FF Deposit'!AJ90+IF(Components!AK90&gt;0,AI90-Components!AK90,AI90*(1+EarningsRate))</f>
        <v>2914.3732833954741</v>
      </c>
      <c r="AK90" s="29">
        <f>'FF Deposit'!AK90+IF(Components!AL90&gt;0,AJ90-Components!AL90,AJ90*(1+EarningsRate))</f>
        <v>4852.9404992292611</v>
      </c>
      <c r="AL90" s="29">
        <f>'FF Deposit'!AL90+IF(Components!AM90&gt;0,AK90-Components!AM90,AK90*(1+EarningsRate))</f>
        <v>6832.2176265955577</v>
      </c>
      <c r="AM90" s="29">
        <f>'FF Deposit'!AM90+IF(Components!AN90&gt;0,AL90-Components!AN90,AL90*(1+EarningsRate))</f>
        <v>8853.0595736365467</v>
      </c>
      <c r="AN90" s="29">
        <f>'FF Deposit'!AN90+IF(Components!AO90&gt;0,AM90-Components!AO90,AM90*(1+EarningsRate))</f>
        <v>10916.339201565395</v>
      </c>
      <c r="AO90" s="29">
        <f>'FF Deposit'!AO90+IF(Components!AP90&gt;0,AN90-Components!AP90,AN90*(1+EarningsRate))</f>
        <v>13022.94770168075</v>
      </c>
      <c r="AP90" s="53"/>
    </row>
    <row r="91" spans="1:42" s="1" customFormat="1">
      <c r="A91" s="220" t="str">
        <f>Components!B91</f>
        <v>Restaurant</v>
      </c>
      <c r="B91" s="220" t="str">
        <f>Components!C91</f>
        <v>Rear Lanai</v>
      </c>
      <c r="C91" s="211"/>
      <c r="D91" s="211"/>
      <c r="E91" s="82">
        <f>AnalysisYear-Components!I91-Components!J91</f>
        <v>8</v>
      </c>
      <c r="F91" s="82">
        <f>IF(H91&lt;0,Components!K91-MOD(AnalysisYear-Components!I91-Components!J91,Components!K91),AnalysisYear-Components!I91-Components!J91)</f>
        <v>8</v>
      </c>
      <c r="G91" s="11">
        <f>ROUND(Components!H91*IF(H91&lt;0,((1+InflationRate)^F91),((1+InflationRate)^H91)),0)</f>
        <v>48777</v>
      </c>
      <c r="H91" s="82">
        <f>IF(E91&gt;=0,Components!K91-E91,E91)</f>
        <v>22</v>
      </c>
      <c r="I91" s="82"/>
      <c r="J91" s="211"/>
      <c r="K91" s="29">
        <f>IF($H91&gt;0,FV(EarningsRate,F91,-'FF Deposit'!L91,1),Components!$H91)</f>
        <v>10193.865952403505</v>
      </c>
      <c r="L91" s="29">
        <f>'FF Deposit'!L91+IF(Components!M91&gt;0,K91-Components!M91,K91*(1+EarningsRate))</f>
        <v>11591.569590287545</v>
      </c>
      <c r="M91" s="29">
        <f>'FF Deposit'!M91+IF(Components!N91&gt;0,L91-Components!N91,L91*(1+EarningsRate))</f>
        <v>13018.625004567151</v>
      </c>
      <c r="N91" s="29">
        <f>'FF Deposit'!N91+IF(Components!O91&gt;0,M91-Components!O91,M91*(1+EarningsRate))</f>
        <v>14475.648582546628</v>
      </c>
      <c r="O91" s="29">
        <f>'FF Deposit'!O91+IF(Components!P91&gt;0,N91-Components!P91,N91*(1+EarningsRate))</f>
        <v>15963.269655663675</v>
      </c>
      <c r="P91" s="29">
        <f>'FF Deposit'!P91+IF(Components!Q91&gt;0,O91-Components!Q91,O91*(1+EarningsRate))</f>
        <v>17482.13077131618</v>
      </c>
      <c r="Q91" s="29">
        <f>'FF Deposit'!Q91+IF(Components!R91&gt;0,P91-Components!R91,P91*(1+EarningsRate))</f>
        <v>19032.887970397387</v>
      </c>
      <c r="R91" s="29">
        <f>'FF Deposit'!R91+IF(Components!S91&gt;0,Q91-Components!S91,Q91*(1+EarningsRate))</f>
        <v>20616.211070659298</v>
      </c>
      <c r="S91" s="29">
        <f>'FF Deposit'!S91+IF(Components!T91&gt;0,R91-Components!T91,R91*(1+EarningsRate))</f>
        <v>22232.783956026709</v>
      </c>
      <c r="T91" s="29">
        <f>'FF Deposit'!T91+IF(Components!U91&gt;0,S91-Components!U91,S91*(1+EarningsRate))</f>
        <v>23883.304871986838</v>
      </c>
      <c r="U91" s="29">
        <f>'FF Deposit'!U91+IF(Components!V91&gt;0,T91-Components!V91,T91*(1+EarningsRate))</f>
        <v>25568.486727182128</v>
      </c>
      <c r="V91" s="29">
        <f>'FF Deposit'!V91+IF(Components!W91&gt;0,U91-Components!W91,U91*(1+EarningsRate))</f>
        <v>27289.057401336519</v>
      </c>
      <c r="W91" s="29">
        <f>'FF Deposit'!W91+IF(Components!X91&gt;0,V91-Components!X91,V91*(1+EarningsRate))</f>
        <v>29045.76005964815</v>
      </c>
      <c r="X91" s="29">
        <f>'FF Deposit'!X91+IF(Components!Y91&gt;0,W91-Components!Y91,W91*(1+EarningsRate))</f>
        <v>30839.353473784326</v>
      </c>
      <c r="Y91" s="29">
        <f>'FF Deposit'!Y91+IF(Components!Z91&gt;0,X91-Components!Z91,X91*(1+EarningsRate))</f>
        <v>32670.61234961736</v>
      </c>
      <c r="Z91" s="29">
        <f>'FF Deposit'!Z91+IF(Components!AA91&gt;0,Y91-Components!AA91,Y91*(1+EarningsRate))</f>
        <v>34540.327661842894</v>
      </c>
      <c r="AA91" s="29">
        <f>'FF Deposit'!AA91+IF(Components!AB91&gt;0,Z91-Components!AB91,Z91*(1+EarningsRate))</f>
        <v>36449.306995625157</v>
      </c>
      <c r="AB91" s="29">
        <f>'FF Deposit'!AB91+IF(Components!AC91&gt;0,AA91-Components!AC91,AA91*(1+EarningsRate))</f>
        <v>38398.374895416848</v>
      </c>
      <c r="AC91" s="29">
        <f>'FF Deposit'!AC91+IF(Components!AD91&gt;0,AB91-Components!AD91,AB91*(1+EarningsRate))</f>
        <v>40388.373221104164</v>
      </c>
      <c r="AD91" s="29">
        <f>'FF Deposit'!AD91+IF(Components!AE91&gt;0,AC91-Components!AE91,AC91*(1+EarningsRate))</f>
        <v>42420.161511630919</v>
      </c>
      <c r="AE91" s="29">
        <f>'FF Deposit'!AE91+IF(Components!AF91&gt;0,AD91-Components!AF91,AD91*(1+EarningsRate))</f>
        <v>44494.617356258736</v>
      </c>
      <c r="AF91" s="29">
        <f>'FF Deposit'!AF91+IF(Components!AG91&gt;0,AE91-Components!AG91,AE91*(1+EarningsRate))</f>
        <v>46612.63677362373</v>
      </c>
      <c r="AG91" s="29">
        <f>'FF Deposit'!AG91+IF(Components!AH91&gt;0,AF91-Components!AH91,AF91*(1+EarningsRate))</f>
        <v>48775.134598753393</v>
      </c>
      <c r="AH91" s="29">
        <f>'FF Deposit'!AH91+IF(Components!AI91&gt;0,AG91-Components!AI91,AG91*(1+EarningsRate))</f>
        <v>3320.3467161887238</v>
      </c>
      <c r="AI91" s="29">
        <f>'FF Deposit'!AI91+IF(Components!AJ91&gt;0,AH91-Components!AJ91,AH91*(1+EarningsRate))</f>
        <v>6712.2861146640171</v>
      </c>
      <c r="AJ91" s="29">
        <f>'FF Deposit'!AJ91+IF(Components!AK91&gt;0,AI91-Components!AK91,AI91*(1+EarningsRate))</f>
        <v>10175.45624050729</v>
      </c>
      <c r="AK91" s="29">
        <f>'FF Deposit'!AK91+IF(Components!AL91&gt;0,AJ91-Components!AL91,AJ91*(1+EarningsRate))</f>
        <v>13711.352938993274</v>
      </c>
      <c r="AL91" s="29">
        <f>'FF Deposit'!AL91+IF(Components!AM91&gt;0,AK91-Components!AM91,AK91*(1+EarningsRate))</f>
        <v>17321.503468147464</v>
      </c>
      <c r="AM91" s="29">
        <f>'FF Deposit'!AM91+IF(Components!AN91&gt;0,AL91-Components!AN91,AL91*(1+EarningsRate))</f>
        <v>21007.467158413889</v>
      </c>
      <c r="AN91" s="29">
        <f>'FF Deposit'!AN91+IF(Components!AO91&gt;0,AM91-Components!AO91,AM91*(1+EarningsRate))</f>
        <v>24770.83608617591</v>
      </c>
      <c r="AO91" s="29">
        <f>'FF Deposit'!AO91+IF(Components!AP91&gt;0,AN91-Components!AP91,AN91*(1+EarningsRate))</f>
        <v>28613.235761420932</v>
      </c>
      <c r="AP91" s="53"/>
    </row>
    <row r="92" spans="1:42" s="1" customFormat="1">
      <c r="A92" s="220" t="str">
        <f>Components!B92</f>
        <v>Restaurant</v>
      </c>
      <c r="B92" s="220" t="str">
        <f>Components!C92</f>
        <v>Rendezvous Make Up Air</v>
      </c>
      <c r="C92" s="211"/>
      <c r="D92" s="211"/>
      <c r="E92" s="82">
        <f>AnalysisYear-Components!I92-Components!J92</f>
        <v>8</v>
      </c>
      <c r="F92" s="82">
        <f>IF(H92&lt;0,Components!K92-MOD(AnalysisYear-Components!I92-Components!J92,Components!K92),AnalysisYear-Components!I92-Components!J92)</f>
        <v>8</v>
      </c>
      <c r="G92" s="11">
        <f>ROUND(Components!H92*IF(H92&lt;0,((1+InflationRate)^F92),((1+InflationRate)^H92)),0)</f>
        <v>25130</v>
      </c>
      <c r="H92" s="82">
        <f>IF(E92&gt;=0,Components!K92-E92,E92)</f>
        <v>7</v>
      </c>
      <c r="I92" s="82"/>
      <c r="J92" s="211"/>
      <c r="K92" s="29">
        <f>IF($H92&gt;0,FV(EarningsRate,F92,-'FF Deposit'!L92,1),Components!$H92)</f>
        <v>12425.183699397297</v>
      </c>
      <c r="L92" s="29">
        <f>'FF Deposit'!L92+IF(Components!M92&gt;0,K92-Components!M92,K92*(1+EarningsRate))</f>
        <v>14128.798268019294</v>
      </c>
      <c r="M92" s="29">
        <f>'FF Deposit'!M92+IF(Components!N92&gt;0,L92-Components!N92,L92*(1+EarningsRate))</f>
        <v>15868.188742582353</v>
      </c>
      <c r="N92" s="29">
        <f>'FF Deposit'!N92+IF(Components!O92&gt;0,M92-Components!O92,M92*(1+EarningsRate))</f>
        <v>17644.106417111238</v>
      </c>
      <c r="O92" s="29">
        <f>'FF Deposit'!O92+IF(Components!P92&gt;0,N92-Components!P92,N92*(1+EarningsRate))</f>
        <v>19457.318362805228</v>
      </c>
      <c r="P92" s="29">
        <f>'FF Deposit'!P92+IF(Components!Q92&gt;0,O92-Components!Q92,O92*(1+EarningsRate))</f>
        <v>21308.607759358791</v>
      </c>
      <c r="Q92" s="29">
        <f>'FF Deposit'!Q92+IF(Components!R92&gt;0,P92-Components!R92,P92*(1+EarningsRate))</f>
        <v>23198.774233239979</v>
      </c>
      <c r="R92" s="29">
        <f>'FF Deposit'!R92+IF(Components!S92&gt;0,Q92-Components!S92,Q92*(1+EarningsRate))</f>
        <v>25128.634203072674</v>
      </c>
      <c r="S92" s="29">
        <f>'FF Deposit'!S92+IF(Components!T92&gt;0,R92-Components!T92,R92*(1+EarningsRate))</f>
        <v>2415.6360220298952</v>
      </c>
      <c r="T92" s="29">
        <f>'FF Deposit'!T92+IF(Components!U92&gt;0,S92-Components!U92,S92*(1+EarningsRate))</f>
        <v>4883.3661974497445</v>
      </c>
      <c r="U92" s="29">
        <f>'FF Deposit'!U92+IF(Components!V92&gt;0,T92-Components!V92,T92*(1+EarningsRate))</f>
        <v>7402.9187065534097</v>
      </c>
      <c r="V92" s="29">
        <f>'FF Deposit'!V92+IF(Components!W92&gt;0,U92-Components!W92,U92*(1+EarningsRate))</f>
        <v>9975.3818183482526</v>
      </c>
      <c r="W92" s="29">
        <f>'FF Deposit'!W92+IF(Components!X92&gt;0,V92-Components!X92,V92*(1+EarningsRate))</f>
        <v>12601.866655490787</v>
      </c>
      <c r="X92" s="29">
        <f>'FF Deposit'!X92+IF(Components!Y92&gt;0,W92-Components!Y92,W92*(1+EarningsRate))</f>
        <v>15283.507674213313</v>
      </c>
      <c r="Y92" s="29">
        <f>'FF Deposit'!Y92+IF(Components!Z92&gt;0,X92-Components!Z92,X92*(1+EarningsRate))</f>
        <v>18021.463154329012</v>
      </c>
      <c r="Z92" s="29">
        <f>'FF Deposit'!Z92+IF(Components!AA92&gt;0,Y92-Components!AA92,Y92*(1+EarningsRate))</f>
        <v>20816.915699527141</v>
      </c>
      <c r="AA92" s="29">
        <f>'FF Deposit'!AA92+IF(Components!AB92&gt;0,Z92-Components!AB92,Z92*(1+EarningsRate))</f>
        <v>23671.072748174429</v>
      </c>
      <c r="AB92" s="29">
        <f>'FF Deposit'!AB92+IF(Components!AC92&gt;0,AA92-Components!AC92,AA92*(1+EarningsRate))</f>
        <v>26585.167094843313</v>
      </c>
      <c r="AC92" s="29">
        <f>'FF Deposit'!AC92+IF(Components!AD92&gt;0,AB92-Components!AD92,AB92*(1+EarningsRate))</f>
        <v>29560.457422792242</v>
      </c>
      <c r="AD92" s="29">
        <f>'FF Deposit'!AD92+IF(Components!AE92&gt;0,AC92-Components!AE92,AC92*(1+EarningsRate))</f>
        <v>32598.228847628099</v>
      </c>
      <c r="AE92" s="29">
        <f>'FF Deposit'!AE92+IF(Components!AF92&gt;0,AD92-Components!AF92,AD92*(1+EarningsRate))</f>
        <v>35699.793472385507</v>
      </c>
      <c r="AF92" s="29">
        <f>'FF Deposit'!AF92+IF(Components!AG92&gt;0,AE92-Components!AG92,AE92*(1+EarningsRate))</f>
        <v>38866.490954262823</v>
      </c>
      <c r="AG92" s="29">
        <f>'FF Deposit'!AG92+IF(Components!AH92&gt;0,AF92-Components!AH92,AF92*(1+EarningsRate))</f>
        <v>42099.68908325956</v>
      </c>
      <c r="AH92" s="29">
        <f>'FF Deposit'!AH92+IF(Components!AI92&gt;0,AG92-Components!AI92,AG92*(1+EarningsRate))</f>
        <v>4047.0567944309464</v>
      </c>
      <c r="AI92" s="29">
        <f>'FF Deposit'!AI92+IF(Components!AJ92&gt;0,AH92-Components!AJ92,AH92*(1+EarningsRate))</f>
        <v>8181.4126982853832</v>
      </c>
      <c r="AJ92" s="29">
        <f>'FF Deposit'!AJ92+IF(Components!AK92&gt;0,AI92-Components!AK92,AI92*(1+EarningsRate))</f>
        <v>12402.590076120761</v>
      </c>
      <c r="AK92" s="29">
        <f>'FF Deposit'!AK92+IF(Components!AL92&gt;0,AJ92-Components!AL92,AJ92*(1+EarningsRate))</f>
        <v>16712.412178890681</v>
      </c>
      <c r="AL92" s="29">
        <f>'FF Deposit'!AL92+IF(Components!AM92&gt;0,AK92-Components!AM92,AK92*(1+EarningsRate))</f>
        <v>21112.740545818771</v>
      </c>
      <c r="AM92" s="29">
        <f>'FF Deposit'!AM92+IF(Components!AN92&gt;0,AL92-Components!AN92,AL92*(1+EarningsRate))</f>
        <v>25605.475808452353</v>
      </c>
      <c r="AN92" s="29">
        <f>'FF Deposit'!AN92+IF(Components!AO92&gt;0,AM92-Components!AO92,AM92*(1+EarningsRate))</f>
        <v>30192.558511601237</v>
      </c>
      <c r="AO92" s="29">
        <f>'FF Deposit'!AO92+IF(Components!AP92&gt;0,AN92-Components!AP92,AN92*(1+EarningsRate))</f>
        <v>34875.969951516243</v>
      </c>
      <c r="AP92" s="53"/>
    </row>
    <row r="93" spans="1:42" s="1" customFormat="1">
      <c r="A93" s="220" t="str">
        <f>Components!B93</f>
        <v>Restaurant</v>
      </c>
      <c r="B93" s="220" t="str">
        <f>Components!C93</f>
        <v>Rendezvous RTU  #1</v>
      </c>
      <c r="C93" s="211"/>
      <c r="D93" s="211"/>
      <c r="E93" s="82">
        <f>AnalysisYear-Components!I93-Components!J93</f>
        <v>8</v>
      </c>
      <c r="F93" s="82">
        <f>IF(H93&lt;0,Components!K93-MOD(AnalysisYear-Components!I93-Components!J93,Components!K93),AnalysisYear-Components!I93-Components!J93)</f>
        <v>8</v>
      </c>
      <c r="G93" s="11">
        <f>ROUND(Components!H93*IF(H93&lt;0,((1+InflationRate)^F93),((1+InflationRate)^H93)),0)</f>
        <v>135996</v>
      </c>
      <c r="H93" s="82">
        <f>IF(E93&gt;=0,Components!K93-E93,E93)</f>
        <v>7</v>
      </c>
      <c r="I93" s="82"/>
      <c r="J93" s="211"/>
      <c r="K93" s="29">
        <f>IF($H93&gt;0,FV(EarningsRate,F93,-'FF Deposit'!L93,1),Components!$H93)</f>
        <v>67246.56593220857</v>
      </c>
      <c r="L93" s="29">
        <f>'FF Deposit'!L93+IF(Components!M93&gt;0,K93-Components!M93,K93*(1+EarningsRate))</f>
        <v>76466.124873063076</v>
      </c>
      <c r="M93" s="29">
        <f>'FF Deposit'!M93+IF(Components!N93&gt;0,L93-Components!N93,L93*(1+EarningsRate))</f>
        <v>85879.294551675528</v>
      </c>
      <c r="N93" s="29">
        <f>'FF Deposit'!N93+IF(Components!O93&gt;0,M93-Components!O93,M93*(1+EarningsRate))</f>
        <v>95490.140793538842</v>
      </c>
      <c r="O93" s="29">
        <f>'FF Deposit'!O93+IF(Components!P93&gt;0,N93-Components!P93,N93*(1+EarningsRate))</f>
        <v>105302.81480648127</v>
      </c>
      <c r="P93" s="29">
        <f>'FF Deposit'!P93+IF(Components!Q93&gt;0,O93-Components!Q93,O93*(1+EarningsRate))</f>
        <v>115321.5549736955</v>
      </c>
      <c r="Q93" s="29">
        <f>'FF Deposit'!Q93+IF(Components!R93&gt;0,P93-Components!R93,P93*(1+EarningsRate))</f>
        <v>125550.68868442123</v>
      </c>
      <c r="R93" s="29">
        <f>'FF Deposit'!R93+IF(Components!S93&gt;0,Q93-Components!S93,Q93*(1+EarningsRate))</f>
        <v>135994.63420307217</v>
      </c>
      <c r="S93" s="29">
        <f>'FF Deposit'!S93+IF(Components!T93&gt;0,R93-Components!T93,R93*(1+EarningsRate))</f>
        <v>13078.720926944288</v>
      </c>
      <c r="T93" s="29">
        <f>'FF Deposit'!T93+IF(Components!U93&gt;0,S93-Components!U93,S93*(1+EarningsRate))</f>
        <v>26433.460790282232</v>
      </c>
      <c r="U93" s="29">
        <f>'FF Deposit'!U93+IF(Components!V93&gt;0,T93-Components!V93,T93*(1+EarningsRate))</f>
        <v>40068.650190750275</v>
      </c>
      <c r="V93" s="29">
        <f>'FF Deposit'!V93+IF(Components!W93&gt;0,U93-Components!W93,U93*(1+EarningsRate))</f>
        <v>53990.178568628144</v>
      </c>
      <c r="W93" s="29">
        <f>'FF Deposit'!W93+IF(Components!X93&gt;0,V93-Components!X93,V93*(1+EarningsRate))</f>
        <v>68204.05904244144</v>
      </c>
      <c r="X93" s="29">
        <f>'FF Deposit'!X93+IF(Components!Y93&gt;0,W93-Components!Y93,W93*(1+EarningsRate))</f>
        <v>82716.431006204817</v>
      </c>
      <c r="Y93" s="29">
        <f>'FF Deposit'!Y93+IF(Components!Z93&gt;0,X93-Components!Z93,X93*(1+EarningsRate))</f>
        <v>97533.56278120722</v>
      </c>
      <c r="Z93" s="29">
        <f>'FF Deposit'!Z93+IF(Components!AA93&gt;0,Y93-Components!AA93,Y93*(1+EarningsRate))</f>
        <v>112661.85432348467</v>
      </c>
      <c r="AA93" s="29">
        <f>'FF Deposit'!AA93+IF(Components!AB93&gt;0,Z93-Components!AB93,Z93*(1+EarningsRate))</f>
        <v>128107.83998814995</v>
      </c>
      <c r="AB93" s="29">
        <f>'FF Deposit'!AB93+IF(Components!AC93&gt;0,AA93-Components!AC93,AA93*(1+EarningsRate))</f>
        <v>143878.19135177322</v>
      </c>
      <c r="AC93" s="29">
        <f>'FF Deposit'!AC93+IF(Components!AD93&gt;0,AB93-Components!AD93,AB93*(1+EarningsRate))</f>
        <v>159979.72009403256</v>
      </c>
      <c r="AD93" s="29">
        <f>'FF Deposit'!AD93+IF(Components!AE93&gt;0,AC93-Components!AE93,AC93*(1+EarningsRate))</f>
        <v>176419.38093987934</v>
      </c>
      <c r="AE93" s="29">
        <f>'FF Deposit'!AE93+IF(Components!AF93&gt;0,AD93-Components!AF93,AD93*(1+EarningsRate))</f>
        <v>193204.2746634889</v>
      </c>
      <c r="AF93" s="29">
        <f>'FF Deposit'!AF93+IF(Components!AG93&gt;0,AE93-Components!AG93,AE93*(1+EarningsRate))</f>
        <v>210341.65115529427</v>
      </c>
      <c r="AG93" s="29">
        <f>'FF Deposit'!AG93+IF(Components!AH93&gt;0,AF93-Components!AH93,AF93*(1+EarningsRate))</f>
        <v>227838.91255342754</v>
      </c>
      <c r="AH93" s="29">
        <f>'FF Deposit'!AH93+IF(Components!AI93&gt;0,AG93-Components!AI93,AG93*(1+EarningsRate))</f>
        <v>21911.64559891231</v>
      </c>
      <c r="AI93" s="29">
        <f>'FF Deposit'!AI93+IF(Components!AJ93&gt;0,AH93-Components!AJ93,AH93*(1+EarningsRate))</f>
        <v>44285.52320197424</v>
      </c>
      <c r="AJ93" s="29">
        <f>'FF Deposit'!AJ93+IF(Components!AK93&gt;0,AI93-Components!AK93,AI93*(1+EarningsRate))</f>
        <v>67129.252234700471</v>
      </c>
      <c r="AK93" s="29">
        <f>'FF Deposit'!AK93+IF(Components!AL93&gt;0,AJ93-Components!AL93,AJ93*(1+EarningsRate))</f>
        <v>90452.699577113948</v>
      </c>
      <c r="AL93" s="29">
        <f>'FF Deposit'!AL93+IF(Components!AM93&gt;0,AK93-Components!AM93,AK93*(1+EarningsRate))</f>
        <v>114265.9393137181</v>
      </c>
      <c r="AM93" s="29">
        <f>'FF Deposit'!AM93+IF(Components!AN93&gt;0,AL93-Components!AN93,AL93*(1+EarningsRate))</f>
        <v>138579.25708479094</v>
      </c>
      <c r="AN93" s="29">
        <f>'FF Deposit'!AN93+IF(Components!AO93&gt;0,AM93-Components!AO93,AM93*(1+EarningsRate))</f>
        <v>163403.15452905631</v>
      </c>
      <c r="AO93" s="29">
        <f>'FF Deposit'!AO93+IF(Components!AP93&gt;0,AN93-Components!AP93,AN93*(1+EarningsRate))</f>
        <v>188748.35381965127</v>
      </c>
      <c r="AP93" s="53"/>
    </row>
    <row r="94" spans="1:42" s="1" customFormat="1">
      <c r="A94" s="220" t="str">
        <f>Components!B94</f>
        <v>Restaurant</v>
      </c>
      <c r="B94" s="220" t="str">
        <f>Components!C94</f>
        <v>Restaurant AV system</v>
      </c>
      <c r="C94" s="211"/>
      <c r="D94" s="211"/>
      <c r="E94" s="82">
        <f>AnalysisYear-Components!I94-Components!J94</f>
        <v>7</v>
      </c>
      <c r="F94" s="82">
        <f>IF(H94&lt;0,Components!K94-MOD(AnalysisYear-Components!I94-Components!J94,Components!K94),AnalysisYear-Components!I94-Components!J94)</f>
        <v>7</v>
      </c>
      <c r="G94" s="11">
        <f>ROUND(Components!H94*IF(H94&lt;0,((1+InflationRate)^F94),((1+InflationRate)^H94)),0)</f>
        <v>34426</v>
      </c>
      <c r="H94" s="82">
        <f>IF(E94&gt;=0,Components!K94-E94,E94)</f>
        <v>3</v>
      </c>
      <c r="I94" s="82"/>
      <c r="J94" s="211"/>
      <c r="K94" s="29">
        <f>IF($H94&gt;0,FV(EarningsRate,F94,-'FF Deposit'!L94,1),Components!$H94)</f>
        <v>23335.981819194683</v>
      </c>
      <c r="L94" s="29">
        <f>'FF Deposit'!L94+IF(Components!M94&gt;0,K94-Components!M94,K94*(1+EarningsRate))</f>
        <v>26955.698073758329</v>
      </c>
      <c r="M94" s="29">
        <f>'FF Deposit'!M94+IF(Components!N94&gt;0,L94-Components!N94,L94*(1+EarningsRate))</f>
        <v>30651.42836966781</v>
      </c>
      <c r="N94" s="29">
        <f>'FF Deposit'!N94+IF(Components!O94&gt;0,M94-Components!O94,M94*(1+EarningsRate))</f>
        <v>34424.769001791392</v>
      </c>
      <c r="O94" s="29">
        <f>'FF Deposit'!O94+IF(Components!P94&gt;0,N94-Components!P94,N94*(1+EarningsRate))</f>
        <v>4413.4644166063081</v>
      </c>
      <c r="P94" s="29">
        <f>'FF Deposit'!P94+IF(Components!Q94&gt;0,O94-Components!Q94,O94*(1+EarningsRate))</f>
        <v>8920.8425841699573</v>
      </c>
      <c r="Q94" s="29">
        <f>'FF Deposit'!Q94+IF(Components!R94&gt;0,P94-Components!R94,P94*(1+EarningsRate))</f>
        <v>13522.875693252441</v>
      </c>
      <c r="R94" s="29">
        <f>'FF Deposit'!R94+IF(Components!S94&gt;0,Q94-Components!S94,Q94*(1+EarningsRate))</f>
        <v>18221.55149762566</v>
      </c>
      <c r="S94" s="29">
        <f>'FF Deposit'!S94+IF(Components!T94&gt;0,R94-Components!T94,R94*(1+EarningsRate))</f>
        <v>23018.899493890713</v>
      </c>
      <c r="T94" s="29">
        <f>'FF Deposit'!T94+IF(Components!U94&gt;0,S94-Components!U94,S94*(1+EarningsRate))</f>
        <v>27916.991798077332</v>
      </c>
      <c r="U94" s="29">
        <f>'FF Deposit'!U94+IF(Components!V94&gt;0,T94-Components!V94,T94*(1+EarningsRate))</f>
        <v>32917.94404065187</v>
      </c>
      <c r="V94" s="29">
        <f>'FF Deposit'!V94+IF(Components!W94&gt;0,U94-Components!W94,U94*(1+EarningsRate))</f>
        <v>38023.916280320474</v>
      </c>
      <c r="W94" s="29">
        <f>'FF Deposit'!W94+IF(Components!X94&gt;0,V94-Components!X94,V94*(1+EarningsRate))</f>
        <v>43237.113937022114</v>
      </c>
      <c r="X94" s="29">
        <f>'FF Deposit'!X94+IF(Components!Y94&gt;0,W94-Components!Y94,W94*(1+EarningsRate))</f>
        <v>48559.788744514488</v>
      </c>
      <c r="Y94" s="29">
        <f>'FF Deposit'!Y94+IF(Components!Z94&gt;0,X94-Components!Z94,X94*(1+EarningsRate))</f>
        <v>6226.1176249777172</v>
      </c>
      <c r="Z94" s="29">
        <f>'FF Deposit'!Z94+IF(Components!AA94&gt;0,Y94-Components!AA94,Y94*(1+EarningsRate))</f>
        <v>12584.194975565479</v>
      </c>
      <c r="AA94" s="29">
        <f>'FF Deposit'!AA94+IF(Components!AB94&gt;0,Z94-Components!AB94,Z94*(1+EarningsRate))</f>
        <v>19075.791950515581</v>
      </c>
      <c r="AB94" s="29">
        <f>'FF Deposit'!AB94+IF(Components!AC94&gt;0,AA94-Components!AC94,AA94*(1+EarningsRate))</f>
        <v>25703.712461939635</v>
      </c>
      <c r="AC94" s="29">
        <f>'FF Deposit'!AC94+IF(Components!AD94&gt;0,AB94-Components!AD94,AB94*(1+EarningsRate))</f>
        <v>32470.819304103592</v>
      </c>
      <c r="AD94" s="29">
        <f>'FF Deposit'!AD94+IF(Components!AE94&gt;0,AC94-Components!AE94,AC94*(1+EarningsRate))</f>
        <v>39380.035389952995</v>
      </c>
      <c r="AE94" s="29">
        <f>'FF Deposit'!AE94+IF(Components!AF94&gt;0,AD94-Components!AF94,AD94*(1+EarningsRate))</f>
        <v>46434.345013605234</v>
      </c>
      <c r="AF94" s="29">
        <f>'FF Deposit'!AF94+IF(Components!AG94&gt;0,AE94-Components!AG94,AE94*(1+EarningsRate))</f>
        <v>53636.795139354173</v>
      </c>
      <c r="AG94" s="29">
        <f>'FF Deposit'!AG94+IF(Components!AH94&gt;0,AF94-Components!AH94,AF94*(1+EarningsRate))</f>
        <v>60990.496717743838</v>
      </c>
      <c r="AH94" s="29">
        <f>'FF Deposit'!AH94+IF(Components!AI94&gt;0,AG94-Components!AI94,AG94*(1+EarningsRate))</f>
        <v>68498.62602927968</v>
      </c>
      <c r="AI94" s="29">
        <f>'FF Deposit'!AI94+IF(Components!AJ94&gt;0,AH94-Components!AJ94,AH94*(1+EarningsRate))</f>
        <v>8782.8773484809171</v>
      </c>
      <c r="AJ94" s="29">
        <f>'FF Deposit'!AJ94+IF(Components!AK94&gt;0,AI94-Components!AK94,AI94*(1+EarningsRate))</f>
        <v>17751.569092000253</v>
      </c>
      <c r="AK94" s="29">
        <f>'FF Deposit'!AK94+IF(Components!AL94&gt;0,AJ94-Components!AL94,AJ94*(1+EarningsRate))</f>
        <v>26908.603362133494</v>
      </c>
      <c r="AL94" s="29">
        <f>'FF Deposit'!AL94+IF(Components!AM94&gt;0,AK94-Components!AM94,AK94*(1+EarningsRate))</f>
        <v>36257.935351939537</v>
      </c>
      <c r="AM94" s="29">
        <f>'FF Deposit'!AM94+IF(Components!AN94&gt;0,AL94-Components!AN94,AL94*(1+EarningsRate))</f>
        <v>45803.603313531508</v>
      </c>
      <c r="AN94" s="29">
        <f>'FF Deposit'!AN94+IF(Components!AO94&gt;0,AM94-Components!AO94,AM94*(1+EarningsRate))</f>
        <v>55549.730302316908</v>
      </c>
      <c r="AO94" s="29">
        <f>'FF Deposit'!AO94+IF(Components!AP94&gt;0,AN94-Components!AP94,AN94*(1+EarningsRate))</f>
        <v>65500.52595786679</v>
      </c>
      <c r="AP94" s="53"/>
    </row>
    <row r="95" spans="1:42" s="1" customFormat="1">
      <c r="A95" s="220" t="str">
        <f>Components!B95</f>
        <v>Restaurant</v>
      </c>
      <c r="B95" s="220" t="str">
        <f>Components!C95</f>
        <v>Restaurant bar stools</v>
      </c>
      <c r="C95" s="211"/>
      <c r="D95" s="211"/>
      <c r="E95" s="82">
        <f>AnalysisYear-Components!I95-Components!J95</f>
        <v>8</v>
      </c>
      <c r="F95" s="82">
        <f>IF(H95&lt;0,Components!K95-MOD(AnalysisYear-Components!I95-Components!J95,Components!K95),AnalysisYear-Components!I95-Components!J95)</f>
        <v>8</v>
      </c>
      <c r="G95" s="11">
        <f>ROUND(Components!H95*IF(H95&lt;0,((1+InflationRate)^F95),((1+InflationRate)^H95)),0)</f>
        <v>8211</v>
      </c>
      <c r="H95" s="82">
        <f>IF(E95&gt;=0,Components!K95-E95,E95)</f>
        <v>7</v>
      </c>
      <c r="I95" s="82"/>
      <c r="J95" s="211"/>
      <c r="K95" s="29">
        <f>IF($H95&gt;0,FV(EarningsRate,F95,-'FF Deposit'!L95,1),Components!$H95)</f>
        <v>4059.0212510638685</v>
      </c>
      <c r="L95" s="29">
        <f>'FF Deposit'!L95+IF(Components!M95&gt;0,K95-Components!M95,K95*(1+EarningsRate))</f>
        <v>4615.6451928588694</v>
      </c>
      <c r="M95" s="29">
        <f>'FF Deposit'!M95+IF(Components!N95&gt;0,L95-Components!N95,L95*(1+EarningsRate))</f>
        <v>5183.958237431566</v>
      </c>
      <c r="N95" s="29">
        <f>'FF Deposit'!N95+IF(Components!O95&gt;0,M95-Components!O95,M95*(1+EarningsRate))</f>
        <v>5764.2058559402885</v>
      </c>
      <c r="O95" s="29">
        <f>'FF Deposit'!O95+IF(Components!P95&gt;0,N95-Components!P95,N95*(1+EarningsRate))</f>
        <v>6356.6386744376941</v>
      </c>
      <c r="P95" s="29">
        <f>'FF Deposit'!P95+IF(Components!Q95&gt;0,O95-Components!Q95,O95*(1+EarningsRate))</f>
        <v>6961.5125821235451</v>
      </c>
      <c r="Q95" s="29">
        <f>'FF Deposit'!Q95+IF(Components!R95&gt;0,P95-Components!R95,P95*(1+EarningsRate))</f>
        <v>7579.0888418707991</v>
      </c>
      <c r="R95" s="29">
        <f>'FF Deposit'!R95+IF(Components!S95&gt;0,Q95-Components!S95,Q95*(1+EarningsRate))</f>
        <v>8209.6342030727446</v>
      </c>
      <c r="S95" s="29">
        <f>'FF Deposit'!S95+IF(Components!T95&gt;0,R95-Components!T95,R95*(1+EarningsRate))</f>
        <v>788.36766648132993</v>
      </c>
      <c r="T95" s="29">
        <f>'FF Deposit'!T95+IF(Components!U95&gt;0,S95-Components!U95,S95*(1+EarningsRate))</f>
        <v>1594.6568508860232</v>
      </c>
      <c r="U95" s="29">
        <f>'FF Deposit'!U95+IF(Components!V95&gt;0,T95-Components!V95,T95*(1+EarningsRate))</f>
        <v>2417.8781081632151</v>
      </c>
      <c r="V95" s="29">
        <f>'FF Deposit'!V95+IF(Components!W95&gt;0,U95-Components!W95,U95*(1+EarningsRate))</f>
        <v>3258.3870118432278</v>
      </c>
      <c r="W95" s="29">
        <f>'FF Deposit'!W95+IF(Components!X95&gt;0,V95-Components!X95,V95*(1+EarningsRate))</f>
        <v>4116.5466025005207</v>
      </c>
      <c r="X95" s="29">
        <f>'FF Deposit'!X95+IF(Components!Y95&gt;0,W95-Components!Y95,W95*(1+EarningsRate))</f>
        <v>4992.7275445616169</v>
      </c>
      <c r="Y95" s="29">
        <f>'FF Deposit'!Y95+IF(Components!Z95&gt;0,X95-Components!Z95,X95*(1+EarningsRate))</f>
        <v>5887.3082864059961</v>
      </c>
      <c r="Z95" s="29">
        <f>'FF Deposit'!Z95+IF(Components!AA95&gt;0,Y95-Components!AA95,Y95*(1+EarningsRate))</f>
        <v>6800.6752238291074</v>
      </c>
      <c r="AA95" s="29">
        <f>'FF Deposit'!AA95+IF(Components!AB95&gt;0,Z95-Components!AB95,Z95*(1+EarningsRate))</f>
        <v>7733.2228669381038</v>
      </c>
      <c r="AB95" s="29">
        <f>'FF Deposit'!AB95+IF(Components!AC95&gt;0,AA95-Components!AC95,AA95*(1+EarningsRate))</f>
        <v>8685.354010552388</v>
      </c>
      <c r="AC95" s="29">
        <f>'FF Deposit'!AC95+IF(Components!AD95&gt;0,AB95-Components!AD95,AB95*(1+EarningsRate))</f>
        <v>9657.4799081825731</v>
      </c>
      <c r="AD95" s="29">
        <f>'FF Deposit'!AD95+IF(Components!AE95&gt;0,AC95-Components!AE95,AC95*(1+EarningsRate))</f>
        <v>10650.020449662992</v>
      </c>
      <c r="AE95" s="29">
        <f>'FF Deposit'!AE95+IF(Components!AF95&gt;0,AD95-Components!AF95,AD95*(1+EarningsRate))</f>
        <v>11663.404342514499</v>
      </c>
      <c r="AF95" s="29">
        <f>'FF Deposit'!AF95+IF(Components!AG95&gt;0,AE95-Components!AG95,AE95*(1+EarningsRate))</f>
        <v>12698.069297115888</v>
      </c>
      <c r="AG95" s="29">
        <f>'FF Deposit'!AG95+IF(Components!AH95&gt;0,AF95-Components!AH95,AF95*(1+EarningsRate))</f>
        <v>13754.462215763906</v>
      </c>
      <c r="AH95" s="29">
        <f>'FF Deposit'!AH95+IF(Components!AI95&gt;0,AG95-Components!AI95,AG95*(1+EarningsRate))</f>
        <v>1321.5134303112814</v>
      </c>
      <c r="AI95" s="29">
        <f>'FF Deposit'!AI95+IF(Components!AJ95&gt;0,AH95-Components!AJ95,AH95*(1+EarningsRate))</f>
        <v>2672.3164268951932</v>
      </c>
      <c r="AJ95" s="29">
        <f>'FF Deposit'!AJ95+IF(Components!AK95&gt;0,AI95-Components!AK95,AI95*(1+EarningsRate))</f>
        <v>4051.4862864073675</v>
      </c>
      <c r="AK95" s="29">
        <f>'FF Deposit'!AK95+IF(Components!AL95&gt;0,AJ95-Components!AL95,AJ95*(1+EarningsRate))</f>
        <v>5459.6187129692971</v>
      </c>
      <c r="AL95" s="29">
        <f>'FF Deposit'!AL95+IF(Components!AM95&gt;0,AK95-Components!AM95,AK95*(1+EarningsRate))</f>
        <v>6897.3219204890265</v>
      </c>
      <c r="AM95" s="29">
        <f>'FF Deposit'!AM95+IF(Components!AN95&gt;0,AL95-Components!AN95,AL95*(1+EarningsRate))</f>
        <v>8365.2168953666715</v>
      </c>
      <c r="AN95" s="29">
        <f>'FF Deposit'!AN95+IF(Components!AO95&gt;0,AM95-Components!AO95,AM95*(1+EarningsRate))</f>
        <v>9863.9376647167464</v>
      </c>
      <c r="AO95" s="29">
        <f>'FF Deposit'!AO95+IF(Components!AP95&gt;0,AN95-Components!AP95,AN95*(1+EarningsRate))</f>
        <v>11394.131570223171</v>
      </c>
      <c r="AP95" s="53"/>
    </row>
    <row r="96" spans="1:42" s="1" customFormat="1">
      <c r="A96" s="220" t="str">
        <f>Components!B96</f>
        <v>Restaurant</v>
      </c>
      <c r="B96" s="220" t="str">
        <f>Components!C96</f>
        <v>Restaurant carpet</v>
      </c>
      <c r="C96" s="211"/>
      <c r="D96" s="211"/>
      <c r="E96" s="82">
        <f>AnalysisYear-Components!I96-Components!J96</f>
        <v>2</v>
      </c>
      <c r="F96" s="82">
        <f>IF(H96&lt;0,Components!K96-MOD(AnalysisYear-Components!I96-Components!J96,Components!K96),AnalysisYear-Components!I96-Components!J96)</f>
        <v>2</v>
      </c>
      <c r="G96" s="11">
        <f>ROUND(Components!H96*IF(H96&lt;0,((1+InflationRate)^F96),((1+InflationRate)^H96)),0)</f>
        <v>11194</v>
      </c>
      <c r="H96" s="82">
        <f>IF(E96&gt;=0,Components!K96-E96,E96)</f>
        <v>3</v>
      </c>
      <c r="I96" s="82"/>
      <c r="J96" s="211"/>
      <c r="K96" s="29">
        <f>IF($H96&gt;0,FV(EarningsRate,F96,-'FF Deposit'!L96,1),Components!$H96)</f>
        <v>4337.4871837560122</v>
      </c>
      <c r="L96" s="29">
        <f>'FF Deposit'!L96+IF(Components!M96&gt;0,K96-Components!M96,K96*(1+EarningsRate))</f>
        <v>6575.2986228068921</v>
      </c>
      <c r="M96" s="29">
        <f>'FF Deposit'!M96+IF(Components!N96&gt;0,L96-Components!N96,L96*(1+EarningsRate))</f>
        <v>8860.1041020778393</v>
      </c>
      <c r="N96" s="29">
        <f>'FF Deposit'!N96+IF(Components!O96&gt;0,M96-Components!O96,M96*(1+EarningsRate))</f>
        <v>11192.890496413478</v>
      </c>
      <c r="O96" s="29">
        <f>'FF Deposit'!O96+IF(Components!P96&gt;0,N96-Components!P96,N96*(1+EarningsRate))</f>
        <v>2548.525440483751</v>
      </c>
      <c r="P96" s="29">
        <f>'FF Deposit'!P96+IF(Components!Q96&gt;0,O96-Components!Q96,O96*(1+EarningsRate))</f>
        <v>5151.6794188041822</v>
      </c>
      <c r="Q96" s="29">
        <f>'FF Deposit'!Q96+IF(Components!R96&gt;0,P96-Components!R96,P96*(1+EarningsRate))</f>
        <v>7809.4996306693429</v>
      </c>
      <c r="R96" s="29">
        <f>'FF Deposit'!R96+IF(Components!S96&gt;0,Q96-Components!S96,Q96*(1+EarningsRate))</f>
        <v>10523.134066983672</v>
      </c>
      <c r="S96" s="29">
        <f>'FF Deposit'!S96+IF(Components!T96&gt;0,R96-Components!T96,R96*(1+EarningsRate))</f>
        <v>13293.754826460601</v>
      </c>
      <c r="T96" s="29">
        <f>'FF Deposit'!T96+IF(Components!U96&gt;0,S96-Components!U96,S96*(1+EarningsRate))</f>
        <v>3026.9303295349519</v>
      </c>
      <c r="U96" s="29">
        <f>'FF Deposit'!U96+IF(Components!V96&gt;0,T96-Components!V96,T96*(1+EarningsRate))</f>
        <v>6118.6713695295366</v>
      </c>
      <c r="V96" s="29">
        <f>'FF Deposit'!V96+IF(Components!W96&gt;0,U96-Components!W96,U96*(1+EarningsRate))</f>
        <v>9275.3389713640063</v>
      </c>
      <c r="W96" s="29">
        <f>'FF Deposit'!W96+IF(Components!X96&gt;0,V96-Components!X96,V96*(1+EarningsRate))</f>
        <v>12498.296592836999</v>
      </c>
      <c r="X96" s="29">
        <f>'FF Deposit'!X96+IF(Components!Y96&gt;0,W96-Components!Y96,W96*(1+EarningsRate))</f>
        <v>15788.936324360926</v>
      </c>
      <c r="Y96" s="29">
        <f>'FF Deposit'!Y96+IF(Components!Z96&gt;0,X96-Components!Z96,X96*(1+EarningsRate))</f>
        <v>3595.3929767523509</v>
      </c>
      <c r="Z96" s="29">
        <f>'FF Deposit'!Z96+IF(Components!AA96&gt;0,Y96-Components!AA96,Y96*(1+EarningsRate))</f>
        <v>7267.3528816555754</v>
      </c>
      <c r="AA96" s="29">
        <f>'FF Deposit'!AA96+IF(Components!AB96&gt;0,Z96-Components!AB96,Z96*(1+EarningsRate))</f>
        <v>11016.423944561768</v>
      </c>
      <c r="AB96" s="29">
        <f>'FF Deposit'!AB96+IF(Components!AC96&gt;0,AA96-Components!AC96,AA96*(1+EarningsRate))</f>
        <v>14844.225499788989</v>
      </c>
      <c r="AC96" s="29">
        <f>'FF Deposit'!AC96+IF(Components!AD96&gt;0,AB96-Components!AD96,AB96*(1+EarningsRate))</f>
        <v>18752.410887675982</v>
      </c>
      <c r="AD96" s="29">
        <f>'FF Deposit'!AD96+IF(Components!AE96&gt;0,AC96-Components!AE96,AC96*(1+EarningsRate))</f>
        <v>4269.9718793763477</v>
      </c>
      <c r="AE96" s="29">
        <f>'FF Deposit'!AE96+IF(Components!AF96&gt;0,AD96-Components!AF96,AD96*(1+EarningsRate))</f>
        <v>8631.2022805436172</v>
      </c>
      <c r="AF96" s="29">
        <f>'FF Deposit'!AF96+IF(Components!AG96&gt;0,AE96-Components!AG96,AE96*(1+EarningsRate))</f>
        <v>13084.018520135398</v>
      </c>
      <c r="AG96" s="29">
        <f>'FF Deposit'!AG96+IF(Components!AH96&gt;0,AF96-Components!AH96,AF96*(1+EarningsRate))</f>
        <v>17630.343900758606</v>
      </c>
      <c r="AH96" s="29">
        <f>'FF Deposit'!AH96+IF(Components!AI96&gt;0,AG96-Components!AI96,AG96*(1+EarningsRate))</f>
        <v>22272.142114374903</v>
      </c>
      <c r="AI96" s="29">
        <f>'FF Deposit'!AI96+IF(Components!AJ96&gt;0,AH96-Components!AJ96,AH96*(1+EarningsRate))</f>
        <v>5071.4464510035668</v>
      </c>
      <c r="AJ96" s="29">
        <f>'FF Deposit'!AJ96+IF(Components!AK96&gt;0,AI96-Components!AK96,AI96*(1+EarningsRate))</f>
        <v>10251.251163103305</v>
      </c>
      <c r="AK96" s="29">
        <f>'FF Deposit'!AK96+IF(Components!AL96&gt;0,AJ96-Components!AL96,AJ96*(1+EarningsRate))</f>
        <v>15539.831774157137</v>
      </c>
      <c r="AL96" s="29">
        <f>'FF Deposit'!AL96+IF(Components!AM96&gt;0,AK96-Components!AM96,AK96*(1+EarningsRate))</f>
        <v>20939.4725780431</v>
      </c>
      <c r="AM96" s="29">
        <f>'FF Deposit'!AM96+IF(Components!AN96&gt;0,AL96-Components!AN96,AL96*(1+EarningsRate))</f>
        <v>26452.50583881067</v>
      </c>
      <c r="AN96" s="29">
        <f>'FF Deposit'!AN96+IF(Components!AO96&gt;0,AM96-Components!AO96,AM96*(1+EarningsRate))</f>
        <v>6023.8803975416859</v>
      </c>
      <c r="AO96" s="29">
        <f>'FF Deposit'!AO96+IF(Components!AP96&gt;0,AN96-Components!AP96,AN96*(1+EarningsRate))</f>
        <v>12175.756444621076</v>
      </c>
      <c r="AP96" s="53"/>
    </row>
    <row r="97" spans="1:42" s="1" customFormat="1">
      <c r="A97" s="220" t="str">
        <f>Components!B97</f>
        <v>Restaurant</v>
      </c>
      <c r="B97" s="220" t="str">
        <f>Components!C97</f>
        <v>Restaurant dining tables 48"</v>
      </c>
      <c r="C97" s="211"/>
      <c r="D97" s="211"/>
      <c r="E97" s="82">
        <f>AnalysisYear-Components!I97-Components!J97</f>
        <v>8</v>
      </c>
      <c r="F97" s="82">
        <f>IF(H97&lt;0,Components!K97-MOD(AnalysisYear-Components!I97-Components!J97,Components!K97),AnalysisYear-Components!I97-Components!J97)</f>
        <v>8</v>
      </c>
      <c r="G97" s="11">
        <f>ROUND(Components!H97*IF(H97&lt;0,((1+InflationRate)^F97),((1+InflationRate)^H97)),0)</f>
        <v>14073</v>
      </c>
      <c r="H97" s="82">
        <f>IF(E97&gt;=0,Components!K97-E97,E97)</f>
        <v>7</v>
      </c>
      <c r="I97" s="82"/>
      <c r="J97" s="211"/>
      <c r="K97" s="29">
        <f>IF($H97&gt;0,FV(EarningsRate,F97,-'FF Deposit'!L97,1),Components!$H97)</f>
        <v>6957.6821809137737</v>
      </c>
      <c r="L97" s="29">
        <f>'FF Deposit'!L97+IF(Components!M97&gt;0,K97-Components!M97,K97*(1+EarningsRate))</f>
        <v>7911.708986616798</v>
      </c>
      <c r="M97" s="29">
        <f>'FF Deposit'!M97+IF(Components!N97&gt;0,L97-Components!N97,L97*(1+EarningsRate))</f>
        <v>8885.7703552395851</v>
      </c>
      <c r="N97" s="29">
        <f>'FF Deposit'!N97+IF(Components!O97&gt;0,M97-Components!O97,M97*(1+EarningsRate))</f>
        <v>9880.2870126034504</v>
      </c>
      <c r="O97" s="29">
        <f>'FF Deposit'!O97+IF(Components!P97&gt;0,N97-Components!P97,N97*(1+EarningsRate))</f>
        <v>10895.688519771957</v>
      </c>
      <c r="P97" s="29">
        <f>'FF Deposit'!P97+IF(Components!Q97&gt;0,O97-Components!Q97,O97*(1+EarningsRate))</f>
        <v>11932.413458591001</v>
      </c>
      <c r="Q97" s="29">
        <f>'FF Deposit'!Q97+IF(Components!R97&gt;0,P97-Components!R97,P97*(1+EarningsRate))</f>
        <v>12990.909621125247</v>
      </c>
      <c r="R97" s="29">
        <f>'FF Deposit'!R97+IF(Components!S97&gt;0,Q97-Components!S97,Q97*(1+EarningsRate))</f>
        <v>14071.634203072712</v>
      </c>
      <c r="S97" s="29">
        <f>'FF Deposit'!S97+IF(Components!T97&gt;0,R97-Components!T97,R97*(1+EarningsRate))</f>
        <v>1352.1744576761732</v>
      </c>
      <c r="T97" s="29">
        <f>'FF Deposit'!T97+IF(Components!U97&gt;0,S97-Components!U97,S97*(1+EarningsRate))</f>
        <v>2734.1103758908339</v>
      </c>
      <c r="U97" s="29">
        <f>'FF Deposit'!U97+IF(Components!V97&gt;0,T97-Components!V97,T97*(1+EarningsRate))</f>
        <v>4145.0669483880029</v>
      </c>
      <c r="V97" s="29">
        <f>'FF Deposit'!V97+IF(Components!W97&gt;0,U97-Components!W97,U97*(1+EarningsRate))</f>
        <v>5585.6536089076117</v>
      </c>
      <c r="W97" s="29">
        <f>'FF Deposit'!W97+IF(Components!X97&gt;0,V97-Components!X97,V97*(1+EarningsRate))</f>
        <v>7056.4925892981319</v>
      </c>
      <c r="X97" s="29">
        <f>'FF Deposit'!X97+IF(Components!Y97&gt;0,W97-Components!Y97,W97*(1+EarningsRate))</f>
        <v>8558.2191882768529</v>
      </c>
      <c r="Y97" s="29">
        <f>'FF Deposit'!Y97+IF(Components!Z97&gt;0,X97-Components!Z97,X97*(1+EarningsRate))</f>
        <v>10091.482045834127</v>
      </c>
      <c r="Z97" s="29">
        <f>'FF Deposit'!Z97+IF(Components!AA97&gt;0,Y97-Components!AA97,Y97*(1+EarningsRate))</f>
        <v>11656.943423400106</v>
      </c>
      <c r="AA97" s="29">
        <f>'FF Deposit'!AA97+IF(Components!AB97&gt;0,Z97-Components!AB97,Z97*(1+EarningsRate))</f>
        <v>13255.279489894969</v>
      </c>
      <c r="AB97" s="29">
        <f>'FF Deposit'!AB97+IF(Components!AC97&gt;0,AA97-Components!AC97,AA97*(1+EarningsRate))</f>
        <v>14887.180613786224</v>
      </c>
      <c r="AC97" s="29">
        <f>'FF Deposit'!AC97+IF(Components!AD97&gt;0,AB97-Components!AD97,AB97*(1+EarningsRate))</f>
        <v>16553.351661279194</v>
      </c>
      <c r="AD97" s="29">
        <f>'FF Deposit'!AD97+IF(Components!AE97&gt;0,AC97-Components!AE97,AC97*(1+EarningsRate))</f>
        <v>18254.512300769515</v>
      </c>
      <c r="AE97" s="29">
        <f>'FF Deposit'!AE97+IF(Components!AF97&gt;0,AD97-Components!AF97,AD97*(1+EarningsRate))</f>
        <v>19991.397313689133</v>
      </c>
      <c r="AF97" s="29">
        <f>'FF Deposit'!AF97+IF(Components!AG97&gt;0,AE97-Components!AG97,AE97*(1+EarningsRate))</f>
        <v>21764.756911880064</v>
      </c>
      <c r="AG97" s="29">
        <f>'FF Deposit'!AG97+IF(Components!AH97&gt;0,AF97-Components!AH97,AF97*(1+EarningsRate))</f>
        <v>23575.357061633003</v>
      </c>
      <c r="AH97" s="29">
        <f>'FF Deposit'!AH97+IF(Components!AI97&gt;0,AG97-Components!AI97,AG97*(1+EarningsRate))</f>
        <v>2265.9914382965294</v>
      </c>
      <c r="AI97" s="29">
        <f>'FF Deposit'!AI97+IF(Components!AJ97&gt;0,AH97-Components!AJ97,AH97*(1+EarningsRate))</f>
        <v>4581.2116351642817</v>
      </c>
      <c r="AJ97" s="29">
        <f>'FF Deposit'!AJ97+IF(Components!AK97&gt;0,AI97-Components!AK97,AI97*(1+EarningsRate))</f>
        <v>6945.0514561662567</v>
      </c>
      <c r="AK97" s="29">
        <f>'FF Deposit'!AK97+IF(Components!AL97&gt;0,AJ97-Components!AL97,AJ97*(1+EarningsRate))</f>
        <v>9358.5319134092733</v>
      </c>
      <c r="AL97" s="29">
        <f>'FF Deposit'!AL97+IF(Components!AM97&gt;0,AK97-Components!AM97,AK97*(1+EarningsRate))</f>
        <v>11822.695460254392</v>
      </c>
      <c r="AM97" s="29">
        <f>'FF Deposit'!AM97+IF(Components!AN97&gt;0,AL97-Components!AN97,AL97*(1+EarningsRate))</f>
        <v>14338.606441583259</v>
      </c>
      <c r="AN97" s="29">
        <f>'FF Deposit'!AN97+IF(Components!AO97&gt;0,AM97-Components!AO97,AM97*(1+EarningsRate))</f>
        <v>16907.351553520031</v>
      </c>
      <c r="AO97" s="29">
        <f>'FF Deposit'!AO97+IF(Components!AP97&gt;0,AN97-Components!AP97,AN97*(1+EarningsRate))</f>
        <v>19530.040312807476</v>
      </c>
      <c r="AP97" s="53"/>
    </row>
    <row r="98" spans="1:42" s="1" customFormat="1">
      <c r="A98" s="220" t="str">
        <f>Components!B98</f>
        <v>Restaurant</v>
      </c>
      <c r="B98" s="220" t="str">
        <f>Components!C98</f>
        <v>Restaurant dining tables 60"</v>
      </c>
      <c r="C98" s="211"/>
      <c r="D98" s="211"/>
      <c r="E98" s="82">
        <f>AnalysisYear-Components!I98-Components!J98</f>
        <v>8</v>
      </c>
      <c r="F98" s="82">
        <f>IF(H98&lt;0,Components!K98-MOD(AnalysisYear-Components!I98-Components!J98,Components!K98),AnalysisYear-Components!I98-Components!J98)</f>
        <v>8</v>
      </c>
      <c r="G98" s="11">
        <f>ROUND(Components!H98*IF(H98&lt;0,((1+InflationRate)^F98),((1+InflationRate)^H98)),0)</f>
        <v>20942</v>
      </c>
      <c r="H98" s="82">
        <f>IF(E98&gt;=0,Components!K98-E98,E98)</f>
        <v>7</v>
      </c>
      <c r="I98" s="82"/>
      <c r="J98" s="211"/>
      <c r="K98" s="29">
        <f>IF($H98&gt;0,FV(EarningsRate,F98,-'FF Deposit'!L98,1),Components!$H98)</f>
        <v>10354.287763844344</v>
      </c>
      <c r="L98" s="29">
        <f>'FF Deposit'!L98+IF(Components!M98&gt;0,K98-Components!M98,K98*(1+EarningsRate))</f>
        <v>11773.985035631335</v>
      </c>
      <c r="M98" s="29">
        <f>'FF Deposit'!M98+IF(Components!N98&gt;0,L98-Components!N98,L98*(1+EarningsRate))</f>
        <v>13223.495950125853</v>
      </c>
      <c r="N98" s="29">
        <f>'FF Deposit'!N98+IF(Components!O98&gt;0,M98-Components!O98,M98*(1+EarningsRate))</f>
        <v>14703.446593824756</v>
      </c>
      <c r="O98" s="29">
        <f>'FF Deposit'!O98+IF(Components!P98&gt;0,N98-Components!P98,N98*(1+EarningsRate))</f>
        <v>16214.476201041336</v>
      </c>
      <c r="P98" s="29">
        <f>'FF Deposit'!P98+IF(Components!Q98&gt;0,O98-Components!Q98,O98*(1+EarningsRate))</f>
        <v>17757.237430009463</v>
      </c>
      <c r="Q98" s="29">
        <f>'FF Deposit'!Q98+IF(Components!R98&gt;0,P98-Components!R98,P98*(1+EarningsRate))</f>
        <v>19332.39664478592</v>
      </c>
      <c r="R98" s="29">
        <f>'FF Deposit'!R98+IF(Components!S98&gt;0,Q98-Components!S98,Q98*(1+EarningsRate))</f>
        <v>20940.634203072685</v>
      </c>
      <c r="S98" s="29">
        <f>'FF Deposit'!S98+IF(Components!T98&gt;0,R98-Components!T98,R98*(1+EarningsRate))</f>
        <v>2012.8344455160648</v>
      </c>
      <c r="T98" s="29">
        <f>'FF Deposit'!T98+IF(Components!U98&gt;0,S98-Components!U98,S98*(1+EarningsRate))</f>
        <v>4069.3042113152824</v>
      </c>
      <c r="U98" s="29">
        <f>'FF Deposit'!U98+IF(Components!V98&gt;0,T98-Components!V98,T98*(1+EarningsRate))</f>
        <v>6168.9598421962837</v>
      </c>
      <c r="V98" s="29">
        <f>'FF Deposit'!V98+IF(Components!W98&gt;0,U98-Components!W98,U98*(1+EarningsRate))</f>
        <v>8312.7082413257849</v>
      </c>
      <c r="W98" s="29">
        <f>'FF Deposit'!W98+IF(Components!X98&gt;0,V98-Components!X98,V98*(1+EarningsRate))</f>
        <v>10501.475356837005</v>
      </c>
      <c r="X98" s="29">
        <f>'FF Deposit'!X98+IF(Components!Y98&gt;0,W98-Components!Y98,W98*(1+EarningsRate))</f>
        <v>12736.20658177396</v>
      </c>
      <c r="Y98" s="29">
        <f>'FF Deposit'!Y98+IF(Components!Z98&gt;0,X98-Components!Z98,X98*(1+EarningsRate))</f>
        <v>15017.867162434592</v>
      </c>
      <c r="Z98" s="29">
        <f>'FF Deposit'!Z98+IF(Components!AA98&gt;0,Y98-Components!AA98,Y98*(1+EarningsRate))</f>
        <v>17347.442615289096</v>
      </c>
      <c r="AA98" s="29">
        <f>'FF Deposit'!AA98+IF(Components!AB98&gt;0,Z98-Components!AB98,Z98*(1+EarningsRate))</f>
        <v>19725.939152653547</v>
      </c>
      <c r="AB98" s="29">
        <f>'FF Deposit'!AB98+IF(Components!AC98&gt;0,AA98-Components!AC98,AA98*(1+EarningsRate))</f>
        <v>22154.384117302652</v>
      </c>
      <c r="AC98" s="29">
        <f>'FF Deposit'!AC98+IF(Components!AD98&gt;0,AB98-Components!AD98,AB98*(1+EarningsRate))</f>
        <v>24633.826426209387</v>
      </c>
      <c r="AD98" s="29">
        <f>'FF Deposit'!AD98+IF(Components!AE98&gt;0,AC98-Components!AE98,AC98*(1+EarningsRate))</f>
        <v>27165.337023603162</v>
      </c>
      <c r="AE98" s="29">
        <f>'FF Deposit'!AE98+IF(Components!AF98&gt;0,AD98-Components!AF98,AD98*(1+EarningsRate))</f>
        <v>29750.009343542206</v>
      </c>
      <c r="AF98" s="29">
        <f>'FF Deposit'!AF98+IF(Components!AG98&gt;0,AE98-Components!AG98,AE98*(1+EarningsRate))</f>
        <v>32388.959782199971</v>
      </c>
      <c r="AG98" s="29">
        <f>'FF Deposit'!AG98+IF(Components!AH98&gt;0,AF98-Components!AH98,AF98*(1+EarningsRate))</f>
        <v>35083.328180069548</v>
      </c>
      <c r="AH98" s="29">
        <f>'FF Deposit'!AH98+IF(Components!AI98&gt;0,AG98-Components!AI98,AG98*(1+EarningsRate))</f>
        <v>3372.8012727123701</v>
      </c>
      <c r="AI98" s="29">
        <f>'FF Deposit'!AI98+IF(Components!AJ98&gt;0,AH98-Components!AJ98,AH98*(1+EarningsRate))</f>
        <v>6818.1031920821515</v>
      </c>
      <c r="AJ98" s="29">
        <f>'FF Deposit'!AJ98+IF(Components!AK98&gt;0,AI98-Components!AK98,AI98*(1+EarningsRate))</f>
        <v>10335.756451758698</v>
      </c>
      <c r="AK98" s="29">
        <f>'FF Deposit'!AK98+IF(Components!AL98&gt;0,AJ98-Components!AL98,AJ98*(1+EarningsRate))</f>
        <v>13927.280429888451</v>
      </c>
      <c r="AL98" s="29">
        <f>'FF Deposit'!AL98+IF(Components!AM98&gt;0,AK98-Components!AM98,AK98*(1+EarningsRate))</f>
        <v>17594.226411558931</v>
      </c>
      <c r="AM98" s="29">
        <f>'FF Deposit'!AM98+IF(Components!AN98&gt;0,AL98-Components!AN98,AL98*(1+EarningsRate))</f>
        <v>21338.178258844491</v>
      </c>
      <c r="AN98" s="29">
        <f>'FF Deposit'!AN98+IF(Components!AO98&gt;0,AM98-Components!AO98,AM98*(1+EarningsRate))</f>
        <v>25160.753094923046</v>
      </c>
      <c r="AO98" s="29">
        <f>'FF Deposit'!AO98+IF(Components!AP98&gt;0,AN98-Components!AP98,AN98*(1+EarningsRate))</f>
        <v>29063.602002559252</v>
      </c>
      <c r="AP98" s="53"/>
    </row>
    <row r="99" spans="1:42" s="1" customFormat="1">
      <c r="A99" s="220" t="str">
        <f>Components!B99</f>
        <v>Restaurant</v>
      </c>
      <c r="B99" s="220" t="str">
        <f>Components!C99</f>
        <v>Restaurant laminate flooring</v>
      </c>
      <c r="C99" s="211"/>
      <c r="D99" s="211"/>
      <c r="E99" s="82">
        <f>AnalysisYear-Components!I99-Components!J99</f>
        <v>2</v>
      </c>
      <c r="F99" s="82">
        <f>IF(H99&lt;0,Components!K99-MOD(AnalysisYear-Components!I99-Components!J99,Components!K99),AnalysisYear-Components!I99-Components!J99)</f>
        <v>2</v>
      </c>
      <c r="G99" s="11">
        <f>ROUND(Components!H99*IF(H99&lt;0,((1+InflationRate)^F99),((1+InflationRate)^H99)),0)</f>
        <v>25349</v>
      </c>
      <c r="H99" s="82">
        <f>IF(E99&gt;=0,Components!K99-E99,E99)</f>
        <v>8</v>
      </c>
      <c r="I99" s="82"/>
      <c r="J99" s="211"/>
      <c r="K99" s="29">
        <f>IF($H99&gt;0,FV(EarningsRate,F99,-'FF Deposit'!L99,1),Components!$H99)</f>
        <v>4656.2963163084269</v>
      </c>
      <c r="L99" s="29">
        <f>'FF Deposit'!L99+IF(Components!M99&gt;0,K99-Components!M99,K99*(1+EarningsRate))</f>
        <v>7058.550957213376</v>
      </c>
      <c r="M99" s="29">
        <f>'FF Deposit'!M99+IF(Components!N99&gt;0,L99-Components!N99,L99*(1+EarningsRate))</f>
        <v>9511.2529455773292</v>
      </c>
      <c r="N99" s="29">
        <f>'FF Deposit'!N99+IF(Components!O99&gt;0,M99-Components!O99,M99*(1+EarningsRate))</f>
        <v>12015.461675696924</v>
      </c>
      <c r="O99" s="29">
        <f>'FF Deposit'!O99+IF(Components!P99&gt;0,N99-Components!P99,N99*(1+EarningsRate))</f>
        <v>14572.258789149031</v>
      </c>
      <c r="P99" s="29">
        <f>'FF Deposit'!P99+IF(Components!Q99&gt;0,O99-Components!Q99,O99*(1+EarningsRate))</f>
        <v>17182.748641983631</v>
      </c>
      <c r="Q99" s="29">
        <f>'FF Deposit'!Q99+IF(Components!R99&gt;0,P99-Components!R99,P99*(1+EarningsRate))</f>
        <v>19848.058781727756</v>
      </c>
      <c r="R99" s="29">
        <f>'FF Deposit'!R99+IF(Components!S99&gt;0,Q99-Components!S99,Q99*(1+EarningsRate))</f>
        <v>22569.340434406506</v>
      </c>
      <c r="S99" s="29">
        <f>'FF Deposit'!S99+IF(Components!T99&gt;0,R99-Components!T99,R99*(1+EarningsRate))</f>
        <v>25347.769001791516</v>
      </c>
      <c r="T99" s="29">
        <f>'FF Deposit'!T99+IF(Components!U99&gt;0,S99-Components!U99,S99*(1+EarningsRate))</f>
        <v>3249.454938878117</v>
      </c>
      <c r="U99" s="29">
        <f>'FF Deposit'!U99+IF(Components!V99&gt;0,T99-Components!V99,T99*(1+EarningsRate))</f>
        <v>6568.3794296811584</v>
      </c>
      <c r="V99" s="29">
        <f>'FF Deposit'!V99+IF(Components!W99&gt;0,U99-Components!W99,U99*(1+EarningsRate))</f>
        <v>9957.0013347910644</v>
      </c>
      <c r="W99" s="29">
        <f>'FF Deposit'!W99+IF(Components!X99&gt;0,V99-Components!X99,V99*(1+EarningsRate))</f>
        <v>13416.784299908279</v>
      </c>
      <c r="X99" s="29">
        <f>'FF Deposit'!X99+IF(Components!Y99&gt;0,W99-Components!Y99,W99*(1+EarningsRate))</f>
        <v>16949.222707292953</v>
      </c>
      <c r="Y99" s="29">
        <f>'FF Deposit'!Y99+IF(Components!Z99&gt;0,X99-Components!Z99,X99*(1+EarningsRate))</f>
        <v>20555.842321232703</v>
      </c>
      <c r="Z99" s="29">
        <f>'FF Deposit'!Z99+IF(Components!AA99&gt;0,Y99-Components!AA99,Y99*(1+EarningsRate))</f>
        <v>24238.20094706519</v>
      </c>
      <c r="AA99" s="29">
        <f>'FF Deposit'!AA99+IF(Components!AB99&gt;0,Z99-Components!AB99,Z99*(1+EarningsRate))</f>
        <v>27997.889104040158</v>
      </c>
      <c r="AB99" s="29">
        <f>'FF Deposit'!AB99+IF(Components!AC99&gt;0,AA99-Components!AC99,AA99*(1+EarningsRate))</f>
        <v>31836.5307123116</v>
      </c>
      <c r="AC99" s="29">
        <f>'FF Deposit'!AC99+IF(Components!AD99&gt;0,AB99-Components!AD99,AB99*(1+EarningsRate))</f>
        <v>35755.783794356743</v>
      </c>
      <c r="AD99" s="29">
        <f>'FF Deposit'!AD99+IF(Components!AE99&gt;0,AC99-Components!AE99,AC99*(1+EarningsRate))</f>
        <v>4584.1629829797885</v>
      </c>
      <c r="AE99" s="29">
        <f>'FF Deposit'!AE99+IF(Components!AF99&gt;0,AD99-Components!AF99,AD99*(1+EarningsRate))</f>
        <v>9265.8095942454092</v>
      </c>
      <c r="AF99" s="29">
        <f>'FF Deposit'!AF99+IF(Components!AG99&gt;0,AE99-Components!AG99,AE99*(1+EarningsRate))</f>
        <v>14045.770784347609</v>
      </c>
      <c r="AG99" s="29">
        <f>'FF Deposit'!AG99+IF(Components!AH99&gt;0,AF99-Components!AH99,AF99*(1+EarningsRate))</f>
        <v>18926.111159441953</v>
      </c>
      <c r="AH99" s="29">
        <f>'FF Deposit'!AH99+IF(Components!AI99&gt;0,AG99-Components!AI99,AG99*(1+EarningsRate))</f>
        <v>23908.938682413278</v>
      </c>
      <c r="AI99" s="29">
        <f>'FF Deposit'!AI99+IF(Components!AJ99&gt;0,AH99-Components!AJ99,AH99*(1+EarningsRate))</f>
        <v>28996.405583367003</v>
      </c>
      <c r="AJ99" s="29">
        <f>'FF Deposit'!AJ99+IF(Components!AK99&gt;0,AI99-Components!AK99,AI99*(1+EarningsRate))</f>
        <v>34190.709289240753</v>
      </c>
      <c r="AK99" s="29">
        <f>'FF Deposit'!AK99+IF(Components!AL99&gt;0,AJ99-Components!AL99,AJ99*(1+EarningsRate))</f>
        <v>39494.093372937852</v>
      </c>
      <c r="AL99" s="29">
        <f>'FF Deposit'!AL99+IF(Components!AM99&gt;0,AK99-Components!AM99,AK99*(1+EarningsRate))</f>
        <v>44908.848522392589</v>
      </c>
      <c r="AM99" s="29">
        <f>'FF Deposit'!AM99+IF(Components!AN99&gt;0,AL99-Components!AN99,AL99*(1+EarningsRate))</f>
        <v>50437.313529985877</v>
      </c>
      <c r="AN99" s="29">
        <f>'FF Deposit'!AN99+IF(Components!AO99&gt;0,AM99-Components!AO99,AM99*(1+EarningsRate))</f>
        <v>6466.4719575653107</v>
      </c>
      <c r="AO99" s="29">
        <f>'FF Deposit'!AO99+IF(Components!AP99&gt;0,AN99-Components!AP99,AN99*(1+EarningsRate))</f>
        <v>13070.426296253616</v>
      </c>
      <c r="AP99" s="53"/>
    </row>
    <row r="100" spans="1:42" s="1" customFormat="1">
      <c r="A100" s="220" t="str">
        <f>Components!B100</f>
        <v>Restaurant</v>
      </c>
      <c r="B100" s="220" t="str">
        <f>Components!C100</f>
        <v>Restaurant Outdoor Freezer</v>
      </c>
      <c r="C100" s="211"/>
      <c r="D100" s="211"/>
      <c r="E100" s="82">
        <f>AnalysisYear-Components!I100-Components!J100</f>
        <v>7</v>
      </c>
      <c r="F100" s="82">
        <f>IF(H100&lt;0,Components!K100-MOD(AnalysisYear-Components!I100-Components!J100,Components!K100),AnalysisYear-Components!I100-Components!J100)</f>
        <v>7</v>
      </c>
      <c r="G100" s="11">
        <f>ROUND(Components!H100*IF(H100&lt;0,((1+InflationRate)^F100),((1+InflationRate)^H100)),0)</f>
        <v>10099</v>
      </c>
      <c r="H100" s="82">
        <f>IF(E100&gt;=0,Components!K100-E100,E100)</f>
        <v>3</v>
      </c>
      <c r="I100" s="82"/>
      <c r="J100" s="211"/>
      <c r="K100" s="29">
        <f>IF($H100&gt;0,FV(EarningsRate,F100,-'FF Deposit'!L100,1),Components!$H100)</f>
        <v>6844.8830528605422</v>
      </c>
      <c r="L100" s="29">
        <f>'FF Deposit'!L100+IF(Components!M100&gt;0,K100-Components!M100,K100*(1+EarningsRate))</f>
        <v>7906.723626558869</v>
      </c>
      <c r="M100" s="29">
        <f>'FF Deposit'!M100+IF(Components!N100&gt;0,L100-Components!N100,L100*(1+EarningsRate))</f>
        <v>8990.862852304861</v>
      </c>
      <c r="N100" s="29">
        <f>'FF Deposit'!N100+IF(Components!O100&gt;0,M100-Components!O100,M100*(1+EarningsRate))</f>
        <v>10097.769001791519</v>
      </c>
      <c r="O100" s="29">
        <f>'FF Deposit'!O100+IF(Components!P100&gt;0,N100-Components!P100,N100*(1+EarningsRate))</f>
        <v>1293.8369444574068</v>
      </c>
      <c r="P100" s="29">
        <f>'FF Deposit'!P100+IF(Components!Q100&gt;0,O100-Components!Q100,O100*(1+EarningsRate))</f>
        <v>2616.0754629569001</v>
      </c>
      <c r="Q100" s="29">
        <f>'FF Deposit'!Q100+IF(Components!R100&gt;0,P100-Components!R100,P100*(1+EarningsRate))</f>
        <v>3966.0809903448821</v>
      </c>
      <c r="R100" s="29">
        <f>'FF Deposit'!R100+IF(Components!S100&gt;0,Q100-Components!S100,Q100*(1+EarningsRate))</f>
        <v>5344.4366338080117</v>
      </c>
      <c r="S100" s="29">
        <f>'FF Deposit'!S100+IF(Components!T100&gt;0,R100-Components!T100,R100*(1+EarningsRate))</f>
        <v>6751.7377457838666</v>
      </c>
      <c r="T100" s="29">
        <f>'FF Deposit'!T100+IF(Components!U100&gt;0,S100-Components!U100,S100*(1+EarningsRate))</f>
        <v>8188.5921811112148</v>
      </c>
      <c r="U100" s="29">
        <f>'FF Deposit'!U100+IF(Components!V100&gt;0,T100-Components!V100,T100*(1+EarningsRate))</f>
        <v>9655.6205595804367</v>
      </c>
      <c r="V100" s="29">
        <f>'FF Deposit'!V100+IF(Components!W100&gt;0,U100-Components!W100,U100*(1+EarningsRate))</f>
        <v>11153.456533997512</v>
      </c>
      <c r="W100" s="29">
        <f>'FF Deposit'!W100+IF(Components!X100&gt;0,V100-Components!X100,V100*(1+EarningsRate))</f>
        <v>12682.747063877347</v>
      </c>
      <c r="X100" s="29">
        <f>'FF Deposit'!X100+IF(Components!Y100&gt;0,W100-Components!Y100,W100*(1+EarningsRate))</f>
        <v>14244.152694884659</v>
      </c>
      <c r="Y100" s="29">
        <f>'FF Deposit'!Y100+IF(Components!Z100&gt;0,X100-Components!Z100,X100*(1+EarningsRate))</f>
        <v>1825.020494787444</v>
      </c>
      <c r="Z100" s="29">
        <f>'FF Deposit'!Z100+IF(Components!AA100&gt;0,Y100-Components!AA100,Y100*(1+EarningsRate))</f>
        <v>3690.2137250807655</v>
      </c>
      <c r="AA100" s="29">
        <f>'FF Deposit'!AA100+IF(Components!AB100&gt;0,Z100-Components!AB100,Z100*(1+EarningsRate))</f>
        <v>5594.5760132102469</v>
      </c>
      <c r="AB100" s="29">
        <f>'FF Deposit'!AB100+IF(Components!AC100&gt;0,AA100-Components!AC100,AA100*(1+EarningsRate))</f>
        <v>7538.9299093904465</v>
      </c>
      <c r="AC100" s="29">
        <f>'FF Deposit'!AC100+IF(Components!AD100&gt;0,AB100-Components!AD100,AB100*(1+EarningsRate))</f>
        <v>9524.1152373904315</v>
      </c>
      <c r="AD100" s="29">
        <f>'FF Deposit'!AD100+IF(Components!AE100&gt;0,AC100-Components!AE100,AC100*(1+EarningsRate))</f>
        <v>11550.989457278416</v>
      </c>
      <c r="AE100" s="29">
        <f>'FF Deposit'!AE100+IF(Components!AF100&gt;0,AD100-Components!AF100,AD100*(1+EarningsRate))</f>
        <v>13620.428035784047</v>
      </c>
      <c r="AF100" s="29">
        <f>'FF Deposit'!AF100+IF(Components!AG100&gt;0,AE100-Components!AG100,AE100*(1+EarningsRate))</f>
        <v>15733.324824438298</v>
      </c>
      <c r="AG100" s="29">
        <f>'FF Deposit'!AG100+IF(Components!AH100&gt;0,AF100-Components!AH100,AF100*(1+EarningsRate))</f>
        <v>17890.592445654285</v>
      </c>
      <c r="AH100" s="29">
        <f>'FF Deposit'!AH100+IF(Components!AI100&gt;0,AG100-Components!AI100,AG100*(1+EarningsRate))</f>
        <v>20093.16268691581</v>
      </c>
      <c r="AI100" s="29">
        <f>'FF Deposit'!AI100+IF(Components!AJ100&gt;0,AH100-Components!AJ100,AH100*(1+EarningsRate))</f>
        <v>2575.0901359573991</v>
      </c>
      <c r="AJ100" s="29">
        <f>'FF Deposit'!AJ100+IF(Components!AK100&gt;0,AI100-Components!AK100,AI100*(1+EarningsRate))</f>
        <v>5206.0944778540934</v>
      </c>
      <c r="AK100" s="29">
        <f>'FF Deposit'!AK100+IF(Components!AL100&gt;0,AJ100-Components!AL100,AJ100*(1+EarningsRate))</f>
        <v>7892.3499109306176</v>
      </c>
      <c r="AL100" s="29">
        <f>'FF Deposit'!AL100+IF(Components!AM100&gt;0,AK100-Components!AM100,AK100*(1+EarningsRate))</f>
        <v>10635.01670810175</v>
      </c>
      <c r="AM100" s="29">
        <f>'FF Deposit'!AM100+IF(Components!AN100&gt;0,AL100-Components!AN100,AL100*(1+EarningsRate))</f>
        <v>13435.279508013475</v>
      </c>
      <c r="AN100" s="29">
        <f>'FF Deposit'!AN100+IF(Components!AO100&gt;0,AM100-Components!AO100,AM100*(1+EarningsRate))</f>
        <v>16294.347826723344</v>
      </c>
      <c r="AO100" s="29">
        <f>'FF Deposit'!AO100+IF(Components!AP100&gt;0,AN100-Components!AP100,AN100*(1+EarningsRate))</f>
        <v>19213.45658012612</v>
      </c>
      <c r="AP100" s="53"/>
    </row>
    <row r="101" spans="1:42" s="1" customFormat="1">
      <c r="A101" s="220" t="str">
        <f>Components!B101</f>
        <v>Restaurant</v>
      </c>
      <c r="B101" s="220" t="str">
        <f>Components!C101</f>
        <v>Restaurant Point of Sale System</v>
      </c>
      <c r="C101" s="211"/>
      <c r="D101" s="211"/>
      <c r="E101" s="82">
        <f>AnalysisYear-Components!I101-Components!J101</f>
        <v>7</v>
      </c>
      <c r="F101" s="82">
        <f>IF(H101&lt;0,Components!K101-MOD(AnalysisYear-Components!I101-Components!J101,Components!K101),AnalysisYear-Components!I101-Components!J101)</f>
        <v>7</v>
      </c>
      <c r="G101" s="11">
        <f>ROUND(Components!H101*IF(H101&lt;0,((1+InflationRate)^F101),((1+InflationRate)^H101)),0)</f>
        <v>32581</v>
      </c>
      <c r="H101" s="82">
        <f>IF(E101&gt;=0,Components!K101-E101,E101)</f>
        <v>8</v>
      </c>
      <c r="I101" s="82"/>
      <c r="J101" s="211"/>
      <c r="K101" s="29">
        <f>IF($H101&gt;0,FV(EarningsRate,F101,-'FF Deposit'!L101,1),Components!$H101)</f>
        <v>13946.267487514106</v>
      </c>
      <c r="L101" s="29">
        <f>'FF Deposit'!L101+IF(Components!M101&gt;0,K101-Components!M101,K101*(1+EarningsRate))</f>
        <v>16109.578545578084</v>
      </c>
      <c r="M101" s="29">
        <f>'FF Deposit'!M101+IF(Components!N101&gt;0,L101-Components!N101,L101*(1+EarningsRate))</f>
        <v>18318.319135861406</v>
      </c>
      <c r="N101" s="29">
        <f>'FF Deposit'!N101+IF(Components!O101&gt;0,M101-Components!O101,M101*(1+EarningsRate))</f>
        <v>20573.443278540675</v>
      </c>
      <c r="O101" s="29">
        <f>'FF Deposit'!O101+IF(Components!P101&gt;0,N101-Components!P101,N101*(1+EarningsRate))</f>
        <v>22875.92502821621</v>
      </c>
      <c r="P101" s="29">
        <f>'FF Deposit'!P101+IF(Components!Q101&gt;0,O101-Components!Q101,O101*(1+EarningsRate))</f>
        <v>25226.758894634931</v>
      </c>
      <c r="Q101" s="29">
        <f>'FF Deposit'!Q101+IF(Components!R101&gt;0,P101-Components!R101,P101*(1+EarningsRate))</f>
        <v>27626.960272248445</v>
      </c>
      <c r="R101" s="29">
        <f>'FF Deposit'!R101+IF(Components!S101&gt;0,Q101-Components!S101,Q101*(1+EarningsRate))</f>
        <v>30077.565878791844</v>
      </c>
      <c r="S101" s="29">
        <f>'FF Deposit'!S101+IF(Components!T101&gt;0,R101-Components!T101,R101*(1+EarningsRate))</f>
        <v>32579.634203072652</v>
      </c>
      <c r="T101" s="29">
        <f>'FF Deposit'!T101+IF(Components!U101&gt;0,S101-Components!U101,S101*(1+EarningsRate))</f>
        <v>3132.2727332535205</v>
      </c>
      <c r="U101" s="29">
        <f>'FF Deposit'!U101+IF(Components!V101&gt;0,T101-Components!V101,T101*(1+EarningsRate))</f>
        <v>6331.688990832713</v>
      </c>
      <c r="V101" s="29">
        <f>'FF Deposit'!V101+IF(Components!W101&gt;0,U101-Components!W101,U101*(1+EarningsRate))</f>
        <v>9598.2929898210677</v>
      </c>
      <c r="W101" s="29">
        <f>'FF Deposit'!W101+IF(Components!X101&gt;0,V101-Components!X101,V101*(1+EarningsRate))</f>
        <v>12933.495672788176</v>
      </c>
      <c r="X101" s="29">
        <f>'FF Deposit'!X101+IF(Components!Y101&gt;0,W101-Components!Y101,W101*(1+EarningsRate))</f>
        <v>16338.737612097597</v>
      </c>
      <c r="Y101" s="29">
        <f>'FF Deposit'!Y101+IF(Components!Z101&gt;0,X101-Components!Z101,X101*(1+EarningsRate))</f>
        <v>19815.489632132514</v>
      </c>
      <c r="Z101" s="29">
        <f>'FF Deposit'!Z101+IF(Components!AA101&gt;0,Y101-Components!AA101,Y101*(1+EarningsRate))</f>
        <v>23365.253444588165</v>
      </c>
      <c r="AA101" s="29">
        <f>'FF Deposit'!AA101+IF(Components!AB101&gt;0,Z101-Components!AB101,Z101*(1+EarningsRate))</f>
        <v>26989.562297105385</v>
      </c>
      <c r="AB101" s="29">
        <f>'FF Deposit'!AB101+IF(Components!AC101&gt;0,AA101-Components!AC101,AA101*(1+EarningsRate))</f>
        <v>30689.981635525466</v>
      </c>
      <c r="AC101" s="29">
        <f>'FF Deposit'!AC101+IF(Components!AD101&gt;0,AB101-Components!AD101,AB101*(1+EarningsRate))</f>
        <v>34468.109780052364</v>
      </c>
      <c r="AD101" s="29">
        <f>'FF Deposit'!AD101+IF(Components!AE101&gt;0,AC101-Components!AE101,AC101*(1+EarningsRate))</f>
        <v>38325.578615614329</v>
      </c>
      <c r="AE101" s="29">
        <f>'FF Deposit'!AE101+IF(Components!AF101&gt;0,AD101-Components!AF101,AD101*(1+EarningsRate))</f>
        <v>42264.054296723094</v>
      </c>
      <c r="AF101" s="29">
        <f>'FF Deposit'!AF101+IF(Components!AG101&gt;0,AE101-Components!AG101,AE101*(1+EarningsRate))</f>
        <v>46285.237967135145</v>
      </c>
      <c r="AG101" s="29">
        <f>'FF Deposit'!AG101+IF(Components!AH101&gt;0,AF101-Components!AH101,AF101*(1+EarningsRate))</f>
        <v>50390.86649462585</v>
      </c>
      <c r="AH101" s="29">
        <f>'FF Deposit'!AH101+IF(Components!AI101&gt;0,AG101-Components!AI101,AG101*(1+EarningsRate))</f>
        <v>54582.713221193859</v>
      </c>
      <c r="AI101" s="29">
        <f>'FF Deposit'!AI101+IF(Components!AJ101&gt;0,AH101-Components!AJ101,AH101*(1+EarningsRate))</f>
        <v>5248.5989070657652</v>
      </c>
      <c r="AJ101" s="29">
        <f>'FF Deposit'!AJ101+IF(Components!AK101&gt;0,AI101-Components!AK101,AI101*(1+EarningsRate))</f>
        <v>10608.705169986053</v>
      </c>
      <c r="AK101" s="29">
        <f>'FF Deposit'!AK101+IF(Components!AL101&gt;0,AJ101-Components!AL101,AJ101*(1+EarningsRate))</f>
        <v>16081.373664427665</v>
      </c>
      <c r="AL101" s="29">
        <f>'FF Deposit'!AL101+IF(Components!AM101&gt;0,AK101-Components!AM101,AK101*(1+EarningsRate))</f>
        <v>21668.96819725255</v>
      </c>
      <c r="AM101" s="29">
        <f>'FF Deposit'!AM101+IF(Components!AN101&gt;0,AL101-Components!AN101,AL101*(1+EarningsRate))</f>
        <v>27373.90221526676</v>
      </c>
      <c r="AN101" s="29">
        <f>'FF Deposit'!AN101+IF(Components!AO101&gt;0,AM101-Components!AO101,AM101*(1+EarningsRate))</f>
        <v>33198.639847659266</v>
      </c>
      <c r="AO101" s="29">
        <f>'FF Deposit'!AO101+IF(Components!AP101&gt;0,AN101-Components!AP101,AN101*(1+EarningsRate))</f>
        <v>39145.696970332014</v>
      </c>
      <c r="AP101" s="53"/>
    </row>
    <row r="102" spans="1:42" s="1" customFormat="1">
      <c r="A102" s="220" t="str">
        <f>Components!B102</f>
        <v>Restaurant</v>
      </c>
      <c r="B102" s="220" t="str">
        <f>Components!C102</f>
        <v>Storage tank Rendezvous</v>
      </c>
      <c r="C102" s="211"/>
      <c r="D102" s="211"/>
      <c r="E102" s="82">
        <f>AnalysisYear-Components!I102-Components!J102</f>
        <v>8</v>
      </c>
      <c r="F102" s="82">
        <f>IF(H102&lt;0,Components!K102-MOD(AnalysisYear-Components!I102-Components!J102,Components!K102),AnalysisYear-Components!I102-Components!J102)</f>
        <v>8</v>
      </c>
      <c r="G102" s="11">
        <f>ROUND(Components!H102*IF(H102&lt;0,((1+InflationRate)^F102),((1+InflationRate)^H102)),0)</f>
        <v>21159</v>
      </c>
      <c r="H102" s="82">
        <f>IF(E102&gt;=0,Components!K102-E102,E102)</f>
        <v>2</v>
      </c>
      <c r="I102" s="82"/>
      <c r="J102" s="211"/>
      <c r="K102" s="29">
        <f>IF($H102&gt;0,FV(EarningsRate,F102,-'FF Deposit'!L102,1),Components!$H102)</f>
        <v>16567.12800794686</v>
      </c>
      <c r="L102" s="29">
        <f>'FF Deposit'!L102+IF(Components!M102&gt;0,K102-Components!M102,K102*(1+EarningsRate))</f>
        <v>18838.598069225722</v>
      </c>
      <c r="M102" s="29">
        <f>'FF Deposit'!M102+IF(Components!N102&gt;0,L102-Components!N102,L102*(1+EarningsRate))</f>
        <v>21157.769001791443</v>
      </c>
      <c r="N102" s="29">
        <f>'FF Deposit'!N102+IF(Components!O102&gt;0,M102-Components!O102,M102*(1+EarningsRate))</f>
        <v>2712.1408800831068</v>
      </c>
      <c r="O102" s="29">
        <f>'FF Deposit'!O102+IF(Components!P102&gt;0,N102-Components!P102,N102*(1+EarningsRate))</f>
        <v>5482.4677168565158</v>
      </c>
      <c r="P102" s="29">
        <f>'FF Deposit'!P102+IF(Components!Q102&gt;0,O102-Components!Q102,O102*(1+EarningsRate))</f>
        <v>8310.9714172021668</v>
      </c>
      <c r="Q102" s="29">
        <f>'FF Deposit'!Q102+IF(Components!R102&gt;0,P102-Components!R102,P102*(1+EarningsRate))</f>
        <v>11198.873695255075</v>
      </c>
      <c r="R102" s="29">
        <f>'FF Deposit'!R102+IF(Components!S102&gt;0,Q102-Components!S102,Q102*(1+EarningsRate))</f>
        <v>14147.421921147095</v>
      </c>
      <c r="S102" s="29">
        <f>'FF Deposit'!S102+IF(Components!T102&gt;0,R102-Components!T102,R102*(1+EarningsRate))</f>
        <v>17157.88965978285</v>
      </c>
      <c r="T102" s="29">
        <f>'FF Deposit'!T102+IF(Components!U102&gt;0,S102-Components!U102,S102*(1+EarningsRate))</f>
        <v>20231.577220929954</v>
      </c>
      <c r="U102" s="29">
        <f>'FF Deposit'!U102+IF(Components!V102&gt;0,T102-Components!V102,T102*(1+EarningsRate))</f>
        <v>23369.812220861146</v>
      </c>
      <c r="V102" s="29">
        <f>'FF Deposit'!V102+IF(Components!W102&gt;0,U102-Components!W102,U102*(1+EarningsRate))</f>
        <v>26573.950155790895</v>
      </c>
      <c r="W102" s="29">
        <f>'FF Deposit'!W102+IF(Components!X102&gt;0,V102-Components!X102,V102*(1+EarningsRate))</f>
        <v>29845.374987354167</v>
      </c>
      <c r="X102" s="29">
        <f>'FF Deposit'!X102+IF(Components!Y102&gt;0,W102-Components!Y102,W102*(1+EarningsRate))</f>
        <v>3825.8720548607266</v>
      </c>
      <c r="Y102" s="29">
        <f>'FF Deposit'!Y102+IF(Components!Z102&gt;0,X102-Components!Z102,X102*(1+EarningsRate))</f>
        <v>7733.712435519361</v>
      </c>
      <c r="Z102" s="29">
        <f>'FF Deposit'!Z102+IF(Components!AA102&gt;0,Y102-Components!AA102,Y102*(1+EarningsRate))</f>
        <v>11723.617464171826</v>
      </c>
      <c r="AA102" s="29">
        <f>'FF Deposit'!AA102+IF(Components!AB102&gt;0,Z102-Components!AB102,Z102*(1+EarningsRate))</f>
        <v>15797.310498425994</v>
      </c>
      <c r="AB102" s="29">
        <f>'FF Deposit'!AB102+IF(Components!AC102&gt;0,AA102-Components!AC102,AA102*(1+EarningsRate))</f>
        <v>19956.551086399497</v>
      </c>
      <c r="AC102" s="29">
        <f>'FF Deposit'!AC102+IF(Components!AD102&gt;0,AB102-Components!AD102,AB102*(1+EarningsRate))</f>
        <v>24203.135726720444</v>
      </c>
      <c r="AD102" s="29">
        <f>'FF Deposit'!AD102+IF(Components!AE102&gt;0,AC102-Components!AE102,AC102*(1+EarningsRate))</f>
        <v>28538.89864448813</v>
      </c>
      <c r="AE102" s="29">
        <f>'FF Deposit'!AE102+IF(Components!AF102&gt;0,AD102-Components!AF102,AD102*(1+EarningsRate))</f>
        <v>32965.712583528933</v>
      </c>
      <c r="AF102" s="29">
        <f>'FF Deposit'!AF102+IF(Components!AG102&gt;0,AE102-Components!AG102,AE102*(1+EarningsRate))</f>
        <v>37485.489615289596</v>
      </c>
      <c r="AG102" s="29">
        <f>'FF Deposit'!AG102+IF(Components!AH102&gt;0,AF102-Components!AH102,AF102*(1+EarningsRate))</f>
        <v>42100.181964717231</v>
      </c>
      <c r="AH102" s="29">
        <f>'FF Deposit'!AH102+IF(Components!AI102&gt;0,AG102-Components!AI102,AG102*(1+EarningsRate))</f>
        <v>5397.2264762648283</v>
      </c>
      <c r="AI102" s="29">
        <f>'FF Deposit'!AI102+IF(Components!AJ102&gt;0,AH102-Components!AJ102,AH102*(1+EarningsRate))</f>
        <v>10909.612743813987</v>
      </c>
      <c r="AJ102" s="29">
        <f>'FF Deposit'!AJ102+IF(Components!AK102&gt;0,AI102-Components!AK102,AI102*(1+EarningsRate))</f>
        <v>16537.759122981675</v>
      </c>
      <c r="AK102" s="29">
        <f>'FF Deposit'!AK102+IF(Components!AL102&gt;0,AJ102-Components!AL102,AJ102*(1+EarningsRate))</f>
        <v>22284.096576111886</v>
      </c>
      <c r="AL102" s="29">
        <f>'FF Deposit'!AL102+IF(Components!AM102&gt;0,AK102-Components!AM102,AK102*(1+EarningsRate))</f>
        <v>28151.107115757834</v>
      </c>
      <c r="AM102" s="29">
        <f>'FF Deposit'!AM102+IF(Components!AN102&gt;0,AL102-Components!AN102,AL102*(1+EarningsRate))</f>
        <v>34141.32487673634</v>
      </c>
      <c r="AN102" s="29">
        <f>'FF Deposit'!AN102+IF(Components!AO102&gt;0,AM102-Components!AO102,AM102*(1+EarningsRate))</f>
        <v>40257.337210695398</v>
      </c>
      <c r="AO102" s="29">
        <f>'FF Deposit'!AO102+IF(Components!AP102&gt;0,AN102-Components!AP102,AN102*(1+EarningsRate))</f>
        <v>46501.78580366759</v>
      </c>
      <c r="AP102" s="53"/>
    </row>
    <row r="103" spans="1:42" s="1" customFormat="1">
      <c r="A103" s="220" t="str">
        <f>Components!B103</f>
        <v>Restaurant</v>
      </c>
      <c r="B103" s="220" t="str">
        <f>Components!C103</f>
        <v>Convection Oven</v>
      </c>
      <c r="C103" s="211"/>
      <c r="D103" s="211"/>
      <c r="E103" s="82">
        <f>AnalysisYear-Components!I103-Components!J103</f>
        <v>8</v>
      </c>
      <c r="F103" s="82">
        <f>IF(H103&lt;0,Components!K103-MOD(AnalysisYear-Components!I103-Components!J103,Components!K103),AnalysisYear-Components!I103-Components!J103)</f>
        <v>8</v>
      </c>
      <c r="G103" s="11">
        <f>ROUND(Components!H103*IF(H103&lt;0,((1+InflationRate)^F103),((1+InflationRate)^H103)),0)</f>
        <v>21066</v>
      </c>
      <c r="H103" s="82">
        <f>IF(E103&gt;=0,Components!K103-E103,E103)</f>
        <v>2</v>
      </c>
      <c r="I103" s="82"/>
      <c r="J103" s="211"/>
      <c r="K103" s="29">
        <f>IF($H103&gt;0,FV(EarningsRate,F103,-'FF Deposit'!L103,1),Components!$H103)</f>
        <v>16494.305439459597</v>
      </c>
      <c r="L103" s="29">
        <f>'FF Deposit'!L103+IF(Components!M103&gt;0,K103-Components!M103,K103*(1+EarningsRate))</f>
        <v>18755.791615774215</v>
      </c>
      <c r="M103" s="29">
        <f>'FF Deposit'!M103+IF(Components!N103&gt;0,L103-Components!N103,L103*(1+EarningsRate))</f>
        <v>21064.769001791439</v>
      </c>
      <c r="N103" s="29">
        <f>'FF Deposit'!N103+IF(Components!O103&gt;0,M103-Components!O103,M103*(1+EarningsRate))</f>
        <v>2700.2148162482749</v>
      </c>
      <c r="O103" s="29">
        <f>'FF Deposit'!O103+IF(Components!P103&gt;0,N103-Components!P103,N103*(1+EarningsRate))</f>
        <v>5458.3651418463241</v>
      </c>
      <c r="P103" s="29">
        <f>'FF Deposit'!P103+IF(Components!Q103&gt;0,O103-Components!Q103,O103*(1+EarningsRate))</f>
        <v>8274.4366242819324</v>
      </c>
      <c r="Q103" s="29">
        <f>'FF Deposit'!Q103+IF(Components!R103&gt;0,P103-Components!R103,P103*(1+EarningsRate))</f>
        <v>11149.645607848688</v>
      </c>
      <c r="R103" s="29">
        <f>'FF Deposit'!R103+IF(Components!S103&gt;0,Q103-Components!S103,Q103*(1+EarningsRate))</f>
        <v>14085.233980070345</v>
      </c>
      <c r="S103" s="29">
        <f>'FF Deposit'!S103+IF(Components!T103&gt;0,R103-Components!T103,R103*(1+EarningsRate))</f>
        <v>17082.469708108656</v>
      </c>
      <c r="T103" s="29">
        <f>'FF Deposit'!T103+IF(Components!U103&gt;0,S103-Components!U103,S103*(1+EarningsRate))</f>
        <v>20142.647386435772</v>
      </c>
      <c r="U103" s="29">
        <f>'FF Deposit'!U103+IF(Components!V103&gt;0,T103-Components!V103,T103*(1+EarningsRate))</f>
        <v>23267.088796007756</v>
      </c>
      <c r="V103" s="29">
        <f>'FF Deposit'!V103+IF(Components!W103&gt;0,U103-Components!W103,U103*(1+EarningsRate))</f>
        <v>26457.14347518075</v>
      </c>
      <c r="W103" s="29">
        <f>'FF Deposit'!W103+IF(Components!X103&gt;0,V103-Components!X103,V103*(1+EarningsRate))</f>
        <v>29714.189302616378</v>
      </c>
      <c r="X103" s="29">
        <f>'FF Deposit'!X103+IF(Components!Y103&gt;0,W103-Components!Y103,W103*(1+EarningsRate))</f>
        <v>3809.7590537122132</v>
      </c>
      <c r="Y103" s="29">
        <f>'FF Deposit'!Y103+IF(Components!Z103&gt;0,X103-Components!Z103,X103*(1+EarningsRate))</f>
        <v>7700.3337449360042</v>
      </c>
      <c r="Z103" s="29">
        <f>'FF Deposit'!Z103+IF(Components!AA103&gt;0,Y103-Components!AA103,Y103*(1+EarningsRate))</f>
        <v>11672.610504675495</v>
      </c>
      <c r="AA103" s="29">
        <f>'FF Deposit'!AA103+IF(Components!AB103&gt;0,Z103-Components!AB103,Z103*(1+EarningsRate))</f>
        <v>15728.305076369514</v>
      </c>
      <c r="AB103" s="29">
        <f>'FF Deposit'!AB103+IF(Components!AC103&gt;0,AA103-Components!AC103,AA103*(1+EarningsRate))</f>
        <v>19869.169234069108</v>
      </c>
      <c r="AC103" s="29">
        <f>'FF Deposit'!AC103+IF(Components!AD103&gt;0,AB103-Components!AD103,AB103*(1+EarningsRate))</f>
        <v>24096.991539080391</v>
      </c>
      <c r="AD103" s="29">
        <f>'FF Deposit'!AD103+IF(Components!AE103&gt;0,AC103-Components!AE103,AC103*(1+EarningsRate))</f>
        <v>28413.598112496911</v>
      </c>
      <c r="AE103" s="29">
        <f>'FF Deposit'!AE103+IF(Components!AF103&gt;0,AD103-Components!AF103,AD103*(1+EarningsRate))</f>
        <v>32820.853423955181</v>
      </c>
      <c r="AF103" s="29">
        <f>'FF Deposit'!AF103+IF(Components!AG103&gt;0,AE103-Components!AG103,AE103*(1+EarningsRate))</f>
        <v>37320.661096954071</v>
      </c>
      <c r="AG103" s="29">
        <f>'FF Deposit'!AG103+IF(Components!AH103&gt;0,AF103-Components!AH103,AF103*(1+EarningsRate))</f>
        <v>41914.964731085936</v>
      </c>
      <c r="AH103" s="29">
        <f>'FF Deposit'!AH103+IF(Components!AI103&gt;0,AG103-Components!AI103,AG103*(1+EarningsRate))</f>
        <v>5374.1571149638794</v>
      </c>
      <c r="AI103" s="29">
        <f>'FF Deposit'!AI103+IF(Components!AJ103&gt;0,AH103-Components!AJ103,AH103*(1+EarningsRate))</f>
        <v>10862.206798256064</v>
      </c>
      <c r="AJ103" s="29">
        <f>'FF Deposit'!AJ103+IF(Components!AK103&gt;0,AI103-Components!AK103,AI103*(1+EarningsRate))</f>
        <v>16465.505524897384</v>
      </c>
      <c r="AK103" s="29">
        <f>'FF Deposit'!AK103+IF(Components!AL103&gt;0,AJ103-Components!AL103,AJ103*(1+EarningsRate))</f>
        <v>22186.47352479817</v>
      </c>
      <c r="AL103" s="29">
        <f>'FF Deposit'!AL103+IF(Components!AM103&gt;0,AK103-Components!AM103,AK103*(1+EarningsRate))</f>
        <v>28027.581852696872</v>
      </c>
      <c r="AM103" s="29">
        <f>'FF Deposit'!AM103+IF(Components!AN103&gt;0,AL103-Components!AN103,AL103*(1+EarningsRate))</f>
        <v>33991.353455481447</v>
      </c>
      <c r="AN103" s="29">
        <f>'FF Deposit'!AN103+IF(Components!AO103&gt;0,AM103-Components!AO103,AM103*(1+EarningsRate))</f>
        <v>40080.364261924493</v>
      </c>
      <c r="AO103" s="29">
        <f>'FF Deposit'!AO103+IF(Components!AP103&gt;0,AN103-Components!AP103,AN103*(1+EarningsRate))</f>
        <v>46297.244295302844</v>
      </c>
      <c r="AP103" s="53"/>
    </row>
    <row r="104" spans="1:42" s="1" customFormat="1">
      <c r="A104" s="220" t="str">
        <f>Components!B104</f>
        <v>Golf Course</v>
      </c>
      <c r="B104" s="220" t="str">
        <f>Components!C104</f>
        <v>Aerator, shatter 4"</v>
      </c>
      <c r="C104" s="211"/>
      <c r="D104" s="211"/>
      <c r="E104" s="82">
        <f>AnalysisYear-Components!I104-Components!J104</f>
        <v>26</v>
      </c>
      <c r="F104" s="82">
        <f>IF(H104&lt;0,Components!K104-MOD(AnalysisYear-Components!I104-Components!J104,Components!K104),AnalysisYear-Components!I104-Components!J104)</f>
        <v>26</v>
      </c>
      <c r="G104" s="11">
        <f>ROUND(Components!H104*IF(H104&lt;0,((1+InflationRate)^F104),((1+InflationRate)^H104)),0)</f>
        <v>7693</v>
      </c>
      <c r="H104" s="82">
        <f>IF(E104&gt;=0,Components!K104-E104,E104)</f>
        <v>7</v>
      </c>
      <c r="I104" s="82"/>
      <c r="J104" s="211"/>
      <c r="K104" s="29">
        <f>IF($H104&gt;0,FV(EarningsRate,F104,-'FF Deposit'!L104,1),Components!$H104)</f>
        <v>5592.7342093699854</v>
      </c>
      <c r="L104" s="29">
        <f>'FF Deposit'!L104+IF(Components!M104&gt;0,K104-Components!M104,K104*(1+EarningsRate))</f>
        <v>5874.1271293516784</v>
      </c>
      <c r="M104" s="29">
        <f>'FF Deposit'!M104+IF(Components!N104&gt;0,L104-Components!N104,L104*(1+EarningsRate))</f>
        <v>6161.429300652987</v>
      </c>
      <c r="N104" s="29">
        <f>'FF Deposit'!N104+IF(Components!O104&gt;0,M104-Components!O104,M104*(1+EarningsRate))</f>
        <v>6454.7648175516224</v>
      </c>
      <c r="O104" s="29">
        <f>'FF Deposit'!O104+IF(Components!P104&gt;0,N104-Components!P104,N104*(1+EarningsRate))</f>
        <v>6754.2603803051297</v>
      </c>
      <c r="P104" s="29">
        <f>'FF Deposit'!P104+IF(Components!Q104&gt;0,O104-Components!Q104,O104*(1+EarningsRate))</f>
        <v>7060.04534987646</v>
      </c>
      <c r="Q104" s="29">
        <f>'FF Deposit'!Q104+IF(Components!R104&gt;0,P104-Components!R104,P104*(1+EarningsRate))</f>
        <v>7372.2518038087883</v>
      </c>
      <c r="R104" s="29">
        <f>'FF Deposit'!R104+IF(Components!S104&gt;0,Q104-Components!S104,Q104*(1+EarningsRate))</f>
        <v>7691.0145932736959</v>
      </c>
      <c r="S104" s="29">
        <f>'FF Deposit'!S104+IF(Components!T104&gt;0,R104-Components!T104,R104*(1+EarningsRate))</f>
        <v>508.20354304967992</v>
      </c>
      <c r="T104" s="29">
        <f>'FF Deposit'!T104+IF(Components!U104&gt;0,S104-Components!U104,S104*(1+EarningsRate))</f>
        <v>1029.0647672297071</v>
      </c>
      <c r="U104" s="29">
        <f>'FF Deposit'!U104+IF(Components!V104&gt;0,T104-Components!V104,T104*(1+EarningsRate))</f>
        <v>1560.8640771175149</v>
      </c>
      <c r="V104" s="29">
        <f>'FF Deposit'!V104+IF(Components!W104&gt;0,U104-Components!W104,U104*(1+EarningsRate))</f>
        <v>2103.8311725129665</v>
      </c>
      <c r="W104" s="29">
        <f>'FF Deposit'!W104+IF(Components!X104&gt;0,V104-Components!X104,V104*(1+EarningsRate))</f>
        <v>2658.2005769117227</v>
      </c>
      <c r="X104" s="29">
        <f>'FF Deposit'!X104+IF(Components!Y104&gt;0,W104-Components!Y104,W104*(1+EarningsRate))</f>
        <v>3224.2117388028528</v>
      </c>
      <c r="Y104" s="29">
        <f>'FF Deposit'!Y104+IF(Components!Z104&gt;0,X104-Components!Z104,X104*(1+EarningsRate))</f>
        <v>3802.1091350936963</v>
      </c>
      <c r="Z104" s="29">
        <f>'FF Deposit'!Z104+IF(Components!AA104&gt;0,Y104-Components!AA104,Y104*(1+EarningsRate))</f>
        <v>4392.1423767066481</v>
      </c>
      <c r="AA104" s="29">
        <f>'FF Deposit'!AA104+IF(Components!AB104&gt;0,Z104-Components!AB104,Z104*(1+EarningsRate))</f>
        <v>4994.5663163934714</v>
      </c>
      <c r="AB104" s="29">
        <f>'FF Deposit'!AB104+IF(Components!AC104&gt;0,AA104-Components!AC104,AA104*(1+EarningsRate))</f>
        <v>5609.641158813718</v>
      </c>
      <c r="AC104" s="29">
        <f>'FF Deposit'!AC104+IF(Components!AD104&gt;0,AB104-Components!AD104,AB104*(1+EarningsRate))</f>
        <v>6237.6325729247892</v>
      </c>
      <c r="AD104" s="29">
        <f>'FF Deposit'!AD104+IF(Components!AE104&gt;0,AC104-Components!AE104,AC104*(1+EarningsRate))</f>
        <v>6878.811806732193</v>
      </c>
      <c r="AE104" s="29">
        <f>'FF Deposit'!AE104+IF(Components!AF104&gt;0,AD104-Components!AF104,AD104*(1+EarningsRate))</f>
        <v>7533.4558044495525</v>
      </c>
      <c r="AF104" s="29">
        <f>'FF Deposit'!AF104+IF(Components!AG104&gt;0,AE104-Components!AG104,AE104*(1+EarningsRate))</f>
        <v>8201.8473261189774</v>
      </c>
      <c r="AG104" s="29">
        <f>'FF Deposit'!AG104+IF(Components!AH104&gt;0,AF104-Components!AH104,AF104*(1+EarningsRate))</f>
        <v>8884.2750697434585</v>
      </c>
      <c r="AH104" s="29">
        <f>'FF Deposit'!AH104+IF(Components!AI104&gt;0,AG104-Components!AI104,AG104*(1+EarningsRate))</f>
        <v>9581.0337959840544</v>
      </c>
      <c r="AI104" s="29">
        <f>'FF Deposit'!AI104+IF(Components!AJ104&gt;0,AH104-Components!AJ104,AH104*(1+EarningsRate))</f>
        <v>10292.424455475702</v>
      </c>
      <c r="AJ104" s="29">
        <f>'FF Deposit'!AJ104+IF(Components!AK104&gt;0,AI104-Components!AK104,AI104*(1+EarningsRate))</f>
        <v>11018.754318816675</v>
      </c>
      <c r="AK104" s="29">
        <f>'FF Deposit'!AK104+IF(Components!AL104&gt;0,AJ104-Components!AL104,AJ104*(1+EarningsRate))</f>
        <v>11760.337109287808</v>
      </c>
      <c r="AL104" s="29">
        <f>'FF Deposit'!AL104+IF(Components!AM104&gt;0,AK104-Components!AM104,AK104*(1+EarningsRate))</f>
        <v>12517.493138358835</v>
      </c>
      <c r="AM104" s="29">
        <f>'FF Deposit'!AM104+IF(Components!AN104&gt;0,AL104-Components!AN104,AL104*(1+EarningsRate))</f>
        <v>13290.549444040355</v>
      </c>
      <c r="AN104" s="29">
        <f>'FF Deposit'!AN104+IF(Components!AO104&gt;0,AM104-Components!AO104,AM104*(1+EarningsRate))</f>
        <v>14079.839932141185</v>
      </c>
      <c r="AO104" s="29">
        <f>'FF Deposit'!AO104+IF(Components!AP104&gt;0,AN104-Components!AP104,AN104*(1+EarningsRate))</f>
        <v>14885.705520492133</v>
      </c>
      <c r="AP104" s="53"/>
    </row>
    <row r="105" spans="1:42" s="1" customFormat="1">
      <c r="A105" s="220" t="str">
        <f>Components!B105</f>
        <v>Golf Course</v>
      </c>
      <c r="B105" s="220" t="str">
        <f>Components!C105</f>
        <v xml:space="preserve">Cart Path--Asphalt R&amp;R Map A-1 </v>
      </c>
      <c r="C105" s="211"/>
      <c r="D105" s="211"/>
      <c r="E105" s="82">
        <f>AnalysisYear-Components!I105-Components!J105</f>
        <v>9</v>
      </c>
      <c r="F105" s="82">
        <f>IF(H105&lt;0,Components!K105-MOD(AnalysisYear-Components!I105-Components!J105,Components!K105),AnalysisYear-Components!I105-Components!J105)</f>
        <v>9</v>
      </c>
      <c r="G105" s="11">
        <f>ROUND(Components!H105*IF(H105&lt;0,((1+InflationRate)^F105),((1+InflationRate)^H105)),0)</f>
        <v>178919</v>
      </c>
      <c r="H105" s="82">
        <f>IF(E105&gt;=0,Components!K105-E105,E105)</f>
        <v>21</v>
      </c>
      <c r="I105" s="82"/>
      <c r="J105" s="211"/>
      <c r="K105" s="29">
        <f>IF($H105&gt;0,FV(EarningsRate,F105,-'FF Deposit'!L105,1),Components!$H105)</f>
        <v>42522.273796966358</v>
      </c>
      <c r="L105" s="29">
        <f>'FF Deposit'!L105+IF(Components!M105&gt;0,K105-Components!M105,K105*(1+EarningsRate))</f>
        <v>47756.925841297954</v>
      </c>
      <c r="M105" s="29">
        <f>'FF Deposit'!M105+IF(Components!N105&gt;0,L105-Components!N105,L105*(1+EarningsRate))</f>
        <v>53101.505578560507</v>
      </c>
      <c r="N105" s="29">
        <f>'FF Deposit'!N105+IF(Components!O105&gt;0,M105-Components!O105,M105*(1+EarningsRate))</f>
        <v>58558.321490305578</v>
      </c>
      <c r="O105" s="29">
        <f>'FF Deposit'!O105+IF(Components!P105&gt;0,N105-Components!P105,N105*(1+EarningsRate))</f>
        <v>64129.730536197298</v>
      </c>
      <c r="P105" s="29">
        <f>'FF Deposit'!P105+IF(Components!Q105&gt;0,O105-Components!Q105,O105*(1+EarningsRate))</f>
        <v>69818.139172052746</v>
      </c>
      <c r="Q105" s="29">
        <f>'FF Deposit'!Q105+IF(Components!R105&gt;0,P105-Components!R105,P105*(1+EarningsRate))</f>
        <v>75626.004389261157</v>
      </c>
      <c r="R105" s="29">
        <f>'FF Deposit'!R105+IF(Components!S105&gt;0,Q105-Components!S105,Q105*(1+EarningsRate))</f>
        <v>81555.834776030941</v>
      </c>
      <c r="S105" s="29">
        <f>'FF Deposit'!S105+IF(Components!T105&gt;0,R105-Components!T105,R105*(1+EarningsRate))</f>
        <v>87610.191600922888</v>
      </c>
      <c r="T105" s="29">
        <f>'FF Deposit'!T105+IF(Components!U105&gt;0,S105-Components!U105,S105*(1+EarningsRate))</f>
        <v>93791.689919137571</v>
      </c>
      <c r="U105" s="29">
        <f>'FF Deposit'!U105+IF(Components!V105&gt;0,T105-Components!V105,T105*(1+EarningsRate))</f>
        <v>100102.99970203477</v>
      </c>
      <c r="V105" s="29">
        <f>'FF Deposit'!V105+IF(Components!W105&gt;0,U105-Components!W105,U105*(1+EarningsRate))</f>
        <v>106546.8469903728</v>
      </c>
      <c r="W105" s="29">
        <f>'FF Deposit'!W105+IF(Components!X105&gt;0,V105-Components!X105,V105*(1+EarningsRate))</f>
        <v>113126.01507176593</v>
      </c>
      <c r="X105" s="29">
        <f>'FF Deposit'!X105+IF(Components!Y105&gt;0,W105-Components!Y105,W105*(1+EarningsRate))</f>
        <v>119843.34568286831</v>
      </c>
      <c r="Y105" s="29">
        <f>'FF Deposit'!Y105+IF(Components!Z105&gt;0,X105-Components!Z105,X105*(1+EarningsRate))</f>
        <v>126701.74023680385</v>
      </c>
      <c r="Z105" s="29">
        <f>'FF Deposit'!Z105+IF(Components!AA105&gt;0,Y105-Components!AA105,Y105*(1+EarningsRate))</f>
        <v>133704.16107637202</v>
      </c>
      <c r="AA105" s="29">
        <f>'FF Deposit'!AA105+IF(Components!AB105&gt;0,Z105-Components!AB105,Z105*(1+EarningsRate))</f>
        <v>140853.63275357112</v>
      </c>
      <c r="AB105" s="29">
        <f>'FF Deposit'!AB105+IF(Components!AC105&gt;0,AA105-Components!AC105,AA105*(1+EarningsRate))</f>
        <v>148153.2433359914</v>
      </c>
      <c r="AC105" s="29">
        <f>'FF Deposit'!AC105+IF(Components!AD105&gt;0,AB105-Components!AD105,AB105*(1+EarningsRate))</f>
        <v>155606.1457406425</v>
      </c>
      <c r="AD105" s="29">
        <f>'FF Deposit'!AD105+IF(Components!AE105&gt;0,AC105-Components!AE105,AC105*(1+EarningsRate))</f>
        <v>163215.55909579128</v>
      </c>
      <c r="AE105" s="29">
        <f>'FF Deposit'!AE105+IF(Components!AF105&gt;0,AD105-Components!AF105,AD105*(1+EarningsRate))</f>
        <v>170984.77013139817</v>
      </c>
      <c r="AF105" s="29">
        <f>'FF Deposit'!AF105+IF(Components!AG105&gt;0,AE105-Components!AG105,AE105*(1+EarningsRate))</f>
        <v>178917.1345987528</v>
      </c>
      <c r="AG105" s="29">
        <f>'FF Deposit'!AG105+IF(Components!AH105&gt;0,AF105-Components!AH105,AF105*(1+EarningsRate))</f>
        <v>12184.34674462918</v>
      </c>
      <c r="AH105" s="29">
        <f>'FF Deposit'!AH105+IF(Components!AI105&gt;0,AG105-Components!AI105,AG105*(1+EarningsRate))</f>
        <v>24626.430172142769</v>
      </c>
      <c r="AI105" s="29">
        <f>'FF Deposit'!AI105+IF(Components!AJ105&gt;0,AH105-Components!AJ105,AH105*(1+EarningsRate))</f>
        <v>37329.797351634144</v>
      </c>
      <c r="AJ105" s="29">
        <f>'FF Deposit'!AJ105+IF(Components!AK105&gt;0,AI105-Components!AK105,AI105*(1+EarningsRate))</f>
        <v>50299.93524189484</v>
      </c>
      <c r="AK105" s="29">
        <f>'FF Deposit'!AK105+IF(Components!AL105&gt;0,AJ105-Components!AL105,AJ105*(1+EarningsRate))</f>
        <v>63542.446027851009</v>
      </c>
      <c r="AL105" s="29">
        <f>'FF Deposit'!AL105+IF(Components!AM105&gt;0,AK105-Components!AM105,AK105*(1+EarningsRate))</f>
        <v>77063.049540312248</v>
      </c>
      <c r="AM105" s="29">
        <f>'FF Deposit'!AM105+IF(Components!AN105&gt;0,AL105-Components!AN105,AL105*(1+EarningsRate))</f>
        <v>90867.585726535166</v>
      </c>
      <c r="AN105" s="29">
        <f>'FF Deposit'!AN105+IF(Components!AO105&gt;0,AM105-Components!AO105,AM105*(1+EarningsRate))</f>
        <v>104962.01717266877</v>
      </c>
      <c r="AO105" s="29">
        <f>'FF Deposit'!AO105+IF(Components!AP105&gt;0,AN105-Components!AP105,AN105*(1+EarningsRate))</f>
        <v>119352.43167917118</v>
      </c>
      <c r="AP105" s="53"/>
    </row>
    <row r="106" spans="1:42" s="1" customFormat="1">
      <c r="A106" s="220" t="str">
        <f>Components!B106</f>
        <v>Golf Course</v>
      </c>
      <c r="B106" s="220" t="str">
        <f>Components!C106</f>
        <v xml:space="preserve">Cart Path--Asphalt R&amp;R Map A-2 </v>
      </c>
      <c r="C106" s="211"/>
      <c r="D106" s="211"/>
      <c r="E106" s="82">
        <f>AnalysisYear-Components!I106-Components!J106</f>
        <v>4</v>
      </c>
      <c r="F106" s="82">
        <f>IF(H106&lt;0,Components!K106-MOD(AnalysisYear-Components!I106-Components!J106,Components!K106),AnalysisYear-Components!I106-Components!J106)</f>
        <v>4</v>
      </c>
      <c r="G106" s="11">
        <f>ROUND(Components!H106*IF(H106&lt;0,((1+InflationRate)^F106),((1+InflationRate)^H106)),0)</f>
        <v>98478</v>
      </c>
      <c r="H106" s="82">
        <f>IF(E106&gt;=0,Components!K106-E106,E106)</f>
        <v>26</v>
      </c>
      <c r="I106" s="82"/>
      <c r="J106" s="211"/>
      <c r="K106" s="29">
        <f>IF($H106&gt;0,FV(EarningsRate,F106,-'FF Deposit'!L106,1),Components!$H106)</f>
        <v>9862.9989009730707</v>
      </c>
      <c r="L106" s="29">
        <f>'FF Deposit'!L106+IF(Components!M106&gt;0,K106-Components!M106,K106*(1+EarningsRate))</f>
        <v>12459.808752753952</v>
      </c>
      <c r="M106" s="29">
        <f>'FF Deposit'!M106+IF(Components!N106&gt;0,L106-Components!N106,L106*(1+EarningsRate))</f>
        <v>15111.151611422232</v>
      </c>
      <c r="N106" s="29">
        <f>'FF Deposit'!N106+IF(Components!O106&gt;0,M106-Components!O106,M106*(1+EarningsRate))</f>
        <v>17818.172670122545</v>
      </c>
      <c r="O106" s="29">
        <f>'FF Deposit'!O106+IF(Components!P106&gt;0,N106-Components!P106,N106*(1+EarningsRate))</f>
        <v>20582.041171055567</v>
      </c>
      <c r="P106" s="29">
        <f>'FF Deposit'!P106+IF(Components!Q106&gt;0,O106-Components!Q106,O106*(1+EarningsRate))</f>
        <v>23403.950910508182</v>
      </c>
      <c r="Q106" s="29">
        <f>'FF Deposit'!Q106+IF(Components!R106&gt;0,P106-Components!R106,P106*(1+EarningsRate))</f>
        <v>26285.1207544893</v>
      </c>
      <c r="R106" s="29">
        <f>'FF Deposit'!R106+IF(Components!S106&gt;0,Q106-Components!S106,Q106*(1+EarningsRate))</f>
        <v>29226.795165194024</v>
      </c>
      <c r="S106" s="29">
        <f>'FF Deposit'!S106+IF(Components!T106&gt;0,R106-Components!T106,R106*(1+EarningsRate))</f>
        <v>32230.244738523546</v>
      </c>
      <c r="T106" s="29">
        <f>'FF Deposit'!T106+IF(Components!U106&gt;0,S106-Components!U106,S106*(1+EarningsRate))</f>
        <v>35296.766752892981</v>
      </c>
      <c r="U106" s="29">
        <f>'FF Deposit'!U106+IF(Components!V106&gt;0,T106-Components!V106,T106*(1+EarningsRate))</f>
        <v>38427.685729564175</v>
      </c>
      <c r="V106" s="29">
        <f>'FF Deposit'!V106+IF(Components!W106&gt;0,U106-Components!W106,U106*(1+EarningsRate))</f>
        <v>41624.354004745466</v>
      </c>
      <c r="W106" s="29">
        <f>'FF Deposit'!W106+IF(Components!X106&gt;0,V106-Components!X106,V106*(1+EarningsRate))</f>
        <v>44888.152313705563</v>
      </c>
      <c r="X106" s="29">
        <f>'FF Deposit'!X106+IF(Components!Y106&gt;0,W106-Components!Y106,W106*(1+EarningsRate))</f>
        <v>48220.490387153819</v>
      </c>
      <c r="Y106" s="29">
        <f>'FF Deposit'!Y106+IF(Components!Z106&gt;0,X106-Components!Z106,X106*(1+EarningsRate))</f>
        <v>51622.807560144494</v>
      </c>
      <c r="Z106" s="29">
        <f>'FF Deposit'!Z106+IF(Components!AA106&gt;0,Y106-Components!AA106,Y106*(1+EarningsRate))</f>
        <v>55096.573393767969</v>
      </c>
      <c r="AA106" s="29">
        <f>'FF Deposit'!AA106+IF(Components!AB106&gt;0,Z106-Components!AB106,Z106*(1+EarningsRate))</f>
        <v>58643.288309897536</v>
      </c>
      <c r="AB106" s="29">
        <f>'FF Deposit'!AB106+IF(Components!AC106&gt;0,AA106-Components!AC106,AA106*(1+EarningsRate))</f>
        <v>62264.484239265825</v>
      </c>
      <c r="AC106" s="29">
        <f>'FF Deposit'!AC106+IF(Components!AD106&gt;0,AB106-Components!AD106,AB106*(1+EarningsRate))</f>
        <v>65961.725283150852</v>
      </c>
      <c r="AD106" s="29">
        <f>'FF Deposit'!AD106+IF(Components!AE106&gt;0,AC106-Components!AE106,AC106*(1+EarningsRate))</f>
        <v>69736.608388957466</v>
      </c>
      <c r="AE106" s="29">
        <f>'FF Deposit'!AE106+IF(Components!AF106&gt;0,AD106-Components!AF106,AD106*(1+EarningsRate))</f>
        <v>73590.76403998601</v>
      </c>
      <c r="AF106" s="29">
        <f>'FF Deposit'!AF106+IF(Components!AG106&gt;0,AE106-Components!AG106,AE106*(1+EarningsRate))</f>
        <v>77525.856959686149</v>
      </c>
      <c r="AG106" s="29">
        <f>'FF Deposit'!AG106+IF(Components!AH106&gt;0,AF106-Components!AH106,AF106*(1+EarningsRate))</f>
        <v>81543.586830699991</v>
      </c>
      <c r="AH106" s="29">
        <f>'FF Deposit'!AH106+IF(Components!AI106&gt;0,AG106-Components!AI106,AG106*(1+EarningsRate))</f>
        <v>85645.689029005123</v>
      </c>
      <c r="AI106" s="29">
        <f>'FF Deposit'!AI106+IF(Components!AJ106&gt;0,AH106-Components!AJ106,AH106*(1+EarningsRate))</f>
        <v>89833.935373474669</v>
      </c>
      <c r="AJ106" s="29">
        <f>'FF Deposit'!AJ106+IF(Components!AK106&gt;0,AI106-Components!AK106,AI106*(1+EarningsRate))</f>
        <v>94110.134891178081</v>
      </c>
      <c r="AK106" s="29">
        <f>'FF Deposit'!AK106+IF(Components!AL106&gt;0,AJ106-Components!AL106,AJ106*(1+EarningsRate))</f>
        <v>98476.134598753255</v>
      </c>
      <c r="AL106" s="29">
        <f>'FF Deposit'!AL106+IF(Components!AM106&gt;0,AK106-Components!AM106,AK106*(1+EarningsRate))</f>
        <v>6705.4926753220579</v>
      </c>
      <c r="AM106" s="29">
        <f>'FF Deposit'!AM106+IF(Components!AN106&gt;0,AL106-Components!AN106,AL106*(1+EarningsRate))</f>
        <v>13553.666098072623</v>
      </c>
      <c r="AN106" s="29">
        <f>'FF Deposit'!AN106+IF(Components!AO106&gt;0,AM106-Components!AO106,AM106*(1+EarningsRate))</f>
        <v>20545.651162700949</v>
      </c>
      <c r="AO106" s="29">
        <f>'FF Deposit'!AO106+IF(Components!AP106&gt;0,AN106-Components!AP106,AN106*(1+EarningsRate))</f>
        <v>27684.467913686469</v>
      </c>
      <c r="AP106" s="53"/>
    </row>
    <row r="107" spans="1:42" s="1" customFormat="1">
      <c r="A107" s="220" t="str">
        <f>Components!B107</f>
        <v>Golf Course</v>
      </c>
      <c r="B107" s="220" t="str">
        <f>Components!C107</f>
        <v>Cart Path--Asphalt R&amp;R Map A-3</v>
      </c>
      <c r="C107" s="211"/>
      <c r="D107" s="211"/>
      <c r="E107" s="82">
        <f>AnalysisYear-Components!I107-Components!J107</f>
        <v>14</v>
      </c>
      <c r="F107" s="82">
        <f>IF(H107&lt;0,Components!K107-MOD(AnalysisYear-Components!I107-Components!J107,Components!K107),AnalysisYear-Components!I107-Components!J107)</f>
        <v>14</v>
      </c>
      <c r="G107" s="11">
        <f>ROUND(Components!H107*IF(H107&lt;0,((1+InflationRate)^F107),((1+InflationRate)^H107)),0)</f>
        <v>11881</v>
      </c>
      <c r="H107" s="82">
        <f>IF(E107&gt;=0,Components!K107-E107,E107)</f>
        <v>16</v>
      </c>
      <c r="I107" s="82"/>
      <c r="J107" s="211"/>
      <c r="K107" s="29">
        <f>IF($H107&gt;0,FV(EarningsRate,F107,-'FF Deposit'!L107,1),Components!$H107)</f>
        <v>4634.9793141889495</v>
      </c>
      <c r="L107" s="29">
        <f>'FF Deposit'!L107+IF(Components!M107&gt;0,K107-Components!M107,K107*(1+EarningsRate))</f>
        <v>5020.6206057583722</v>
      </c>
      <c r="M107" s="29">
        <f>'FF Deposit'!M107+IF(Components!N107&gt;0,L107-Components!N107,L107*(1+EarningsRate))</f>
        <v>5414.360364450753</v>
      </c>
      <c r="N107" s="29">
        <f>'FF Deposit'!N107+IF(Components!O107&gt;0,M107-Components!O107,M107*(1+EarningsRate))</f>
        <v>5816.3686580756739</v>
      </c>
      <c r="O107" s="29">
        <f>'FF Deposit'!O107+IF(Components!P107&gt;0,N107-Components!P107,N107*(1+EarningsRate))</f>
        <v>6226.8191258667175</v>
      </c>
      <c r="P107" s="29">
        <f>'FF Deposit'!P107+IF(Components!Q107&gt;0,O107-Components!Q107,O107*(1+EarningsRate))</f>
        <v>6645.8890534813736</v>
      </c>
      <c r="Q107" s="29">
        <f>'FF Deposit'!Q107+IF(Components!R107&gt;0,P107-Components!R107,P107*(1+EarningsRate))</f>
        <v>7073.7594495759367</v>
      </c>
      <c r="R107" s="29">
        <f>'FF Deposit'!R107+IF(Components!S107&gt;0,Q107-Components!S107,Q107*(1+EarningsRate))</f>
        <v>7510.6151239884857</v>
      </c>
      <c r="S107" s="29">
        <f>'FF Deposit'!S107+IF(Components!T107&gt;0,R107-Components!T107,R107*(1+EarningsRate))</f>
        <v>7956.6447675636982</v>
      </c>
      <c r="T107" s="29">
        <f>'FF Deposit'!T107+IF(Components!U107&gt;0,S107-Components!U107,S107*(1+EarningsRate))</f>
        <v>8412.0410336539917</v>
      </c>
      <c r="U107" s="29">
        <f>'FF Deposit'!U107+IF(Components!V107&gt;0,T107-Components!V107,T107*(1+EarningsRate))</f>
        <v>8877.0006213321794</v>
      </c>
      <c r="V107" s="29">
        <f>'FF Deposit'!V107+IF(Components!W107&gt;0,U107-Components!W107,U107*(1+EarningsRate))</f>
        <v>9351.724360351609</v>
      </c>
      <c r="W107" s="29">
        <f>'FF Deposit'!W107+IF(Components!X107&gt;0,V107-Components!X107,V107*(1+EarningsRate))</f>
        <v>9836.417297890448</v>
      </c>
      <c r="X107" s="29">
        <f>'FF Deposit'!X107+IF(Components!Y107&gt;0,W107-Components!Y107,W107*(1+EarningsRate))</f>
        <v>10331.288787117603</v>
      </c>
      <c r="Y107" s="29">
        <f>'FF Deposit'!Y107+IF(Components!Z107&gt;0,X107-Components!Z107,X107*(1+EarningsRate))</f>
        <v>10836.552577618526</v>
      </c>
      <c r="Z107" s="29">
        <f>'FF Deposit'!Z107+IF(Components!AA107&gt;0,Y107-Components!AA107,Y107*(1+EarningsRate))</f>
        <v>11352.42690771997</v>
      </c>
      <c r="AA107" s="29">
        <f>'FF Deposit'!AA107+IF(Components!AB107&gt;0,Z107-Components!AB107,Z107*(1+EarningsRate))</f>
        <v>11879.134598753544</v>
      </c>
      <c r="AB107" s="29">
        <f>'FF Deposit'!AB107+IF(Components!AC107&gt;0,AA107-Components!AC107,AA107*(1+EarningsRate))</f>
        <v>807.35210223365095</v>
      </c>
      <c r="AC107" s="29">
        <f>'FF Deposit'!AC107+IF(Components!AD107&gt;0,AB107-Components!AD107,AB107*(1+EarningsRate))</f>
        <v>1633.5239998606644</v>
      </c>
      <c r="AD107" s="29">
        <f>'FF Deposit'!AD107+IF(Components!AE107&gt;0,AC107-Components!AE107,AC107*(1+EarningsRate))</f>
        <v>2477.0455073378448</v>
      </c>
      <c r="AE107" s="29">
        <f>'FF Deposit'!AE107+IF(Components!AF107&gt;0,AD107-Components!AF107,AD107*(1+EarningsRate))</f>
        <v>3338.2809664720457</v>
      </c>
      <c r="AF107" s="29">
        <f>'FF Deposit'!AF107+IF(Components!AG107&gt;0,AE107-Components!AG107,AE107*(1+EarningsRate))</f>
        <v>4217.6023702480652</v>
      </c>
      <c r="AG107" s="29">
        <f>'FF Deposit'!AG107+IF(Components!AH107&gt;0,AF107-Components!AH107,AF107*(1+EarningsRate))</f>
        <v>5115.3895235033806</v>
      </c>
      <c r="AH107" s="29">
        <f>'FF Deposit'!AH107+IF(Components!AI107&gt;0,AG107-Components!AI107,AG107*(1+EarningsRate))</f>
        <v>6032.0302069770578</v>
      </c>
      <c r="AI107" s="29">
        <f>'FF Deposit'!AI107+IF(Components!AJ107&gt;0,AH107-Components!AJ107,AH107*(1+EarningsRate))</f>
        <v>6967.9203448036824</v>
      </c>
      <c r="AJ107" s="29">
        <f>'FF Deposit'!AJ107+IF(Components!AK107&gt;0,AI107-Components!AK107,AI107*(1+EarningsRate))</f>
        <v>7923.4641755246657</v>
      </c>
      <c r="AK107" s="29">
        <f>'FF Deposit'!AK107+IF(Components!AL107&gt;0,AJ107-Components!AL107,AJ107*(1+EarningsRate))</f>
        <v>8899.0744266907896</v>
      </c>
      <c r="AL107" s="29">
        <f>'FF Deposit'!AL107+IF(Components!AM107&gt;0,AK107-Components!AM107,AK107*(1+EarningsRate))</f>
        <v>9895.172493131402</v>
      </c>
      <c r="AM107" s="29">
        <f>'FF Deposit'!AM107+IF(Components!AN107&gt;0,AL107-Components!AN107,AL107*(1+EarningsRate))</f>
        <v>10912.188618967268</v>
      </c>
      <c r="AN107" s="29">
        <f>'FF Deposit'!AN107+IF(Components!AO107&gt;0,AM107-Components!AO107,AM107*(1+EarningsRate))</f>
        <v>11950.562083445688</v>
      </c>
      <c r="AO107" s="29">
        <f>'FF Deposit'!AO107+IF(Components!AP107&gt;0,AN107-Components!AP107,AN107*(1+EarningsRate))</f>
        <v>13010.741390678153</v>
      </c>
      <c r="AP107" s="53"/>
    </row>
    <row r="108" spans="1:42" s="1" customFormat="1">
      <c r="A108" s="220" t="str">
        <f>Components!B108</f>
        <v>Golf Course</v>
      </c>
      <c r="B108" s="220" t="str">
        <f>Components!C108</f>
        <v>Cart Path--Concrete Map C-1</v>
      </c>
      <c r="C108" s="211"/>
      <c r="D108" s="211"/>
      <c r="E108" s="82">
        <f>AnalysisYear-Components!I108-Components!J108</f>
        <v>8</v>
      </c>
      <c r="F108" s="82">
        <f>IF(H108&lt;0,Components!K108-MOD(AnalysisYear-Components!I108-Components!J108,Components!K108),AnalysisYear-Components!I108-Components!J108)</f>
        <v>8</v>
      </c>
      <c r="G108" s="11">
        <f>ROUND(Components!H108*IF(H108&lt;0,((1+InflationRate)^F108),((1+InflationRate)^H108)),0)</f>
        <v>49704</v>
      </c>
      <c r="H108" s="82">
        <f>IF(E108&gt;=0,Components!K108-E108,E108)</f>
        <v>22</v>
      </c>
      <c r="I108" s="82"/>
      <c r="J108" s="211"/>
      <c r="K108" s="29">
        <f>IF($H108&gt;0,FV(EarningsRate,F108,-'FF Deposit'!L108,1),Components!$H108)</f>
        <v>10387.621378404801</v>
      </c>
      <c r="L108" s="29">
        <f>'FF Deposit'!L108+IF(Components!M108&gt;0,K108-Components!M108,K108*(1+EarningsRate))</f>
        <v>11811.888647929132</v>
      </c>
      <c r="M108" s="29">
        <f>'FF Deposit'!M108+IF(Components!N108&gt;0,L108-Components!N108,L108*(1+EarningsRate))</f>
        <v>13266.065530113474</v>
      </c>
      <c r="N108" s="29">
        <f>'FF Deposit'!N108+IF(Components!O108&gt;0,M108-Components!O108,M108*(1+EarningsRate))</f>
        <v>14750.780126823687</v>
      </c>
      <c r="O108" s="29">
        <f>'FF Deposit'!O108+IF(Components!P108&gt;0,N108-Components!P108,N108*(1+EarningsRate))</f>
        <v>16266.673730064815</v>
      </c>
      <c r="P108" s="29">
        <f>'FF Deposit'!P108+IF(Components!Q108&gt;0,O108-Components!Q108,O108*(1+EarningsRate))</f>
        <v>17814.401098974009</v>
      </c>
      <c r="Q108" s="29">
        <f>'FF Deposit'!Q108+IF(Components!R108&gt;0,P108-Components!R108,P108*(1+EarningsRate))</f>
        <v>19394.630742630296</v>
      </c>
      <c r="R108" s="29">
        <f>'FF Deposit'!R108+IF(Components!S108&gt;0,Q108-Components!S108,Q108*(1+EarningsRate))</f>
        <v>21008.045208803363</v>
      </c>
      <c r="S108" s="29">
        <f>'FF Deposit'!S108+IF(Components!T108&gt;0,R108-Components!T108,R108*(1+EarningsRate))</f>
        <v>22655.341378766065</v>
      </c>
      <c r="T108" s="29">
        <f>'FF Deposit'!T108+IF(Components!U108&gt;0,S108-Components!U108,S108*(1+EarningsRate))</f>
        <v>24337.230768297984</v>
      </c>
      <c r="U108" s="29">
        <f>'FF Deposit'!U108+IF(Components!V108&gt;0,T108-Components!V108,T108*(1+EarningsRate))</f>
        <v>26054.439835010075</v>
      </c>
      <c r="V108" s="29">
        <f>'FF Deposit'!V108+IF(Components!W108&gt;0,U108-Components!W108,U108*(1+EarningsRate))</f>
        <v>27807.710292123116</v>
      </c>
      <c r="W108" s="29">
        <f>'FF Deposit'!W108+IF(Components!X108&gt;0,V108-Components!X108,V108*(1+EarningsRate))</f>
        <v>29597.799428835533</v>
      </c>
      <c r="X108" s="29">
        <f>'FF Deposit'!X108+IF(Components!Y108&gt;0,W108-Components!Y108,W108*(1+EarningsRate))</f>
        <v>31425.480437418908</v>
      </c>
      <c r="Y108" s="29">
        <f>'FF Deposit'!Y108+IF(Components!Z108&gt;0,X108-Components!Z108,X108*(1+EarningsRate))</f>
        <v>33291.542747182531</v>
      </c>
      <c r="Z108" s="29">
        <f>'FF Deposit'!Z108+IF(Components!AA108&gt;0,Y108-Components!AA108,Y108*(1+EarningsRate))</f>
        <v>35196.792365451191</v>
      </c>
      <c r="AA108" s="29">
        <f>'FF Deposit'!AA108+IF(Components!AB108&gt;0,Z108-Components!AB108,Z108*(1+EarningsRate))</f>
        <v>37142.05222570349</v>
      </c>
      <c r="AB108" s="29">
        <f>'FF Deposit'!AB108+IF(Components!AC108&gt;0,AA108-Components!AC108,AA108*(1+EarningsRate))</f>
        <v>39128.162543021092</v>
      </c>
      <c r="AC108" s="29">
        <f>'FF Deposit'!AC108+IF(Components!AD108&gt;0,AB108-Components!AD108,AB108*(1+EarningsRate))</f>
        <v>41155.981177002359</v>
      </c>
      <c r="AD108" s="29">
        <f>'FF Deposit'!AD108+IF(Components!AE108&gt;0,AC108-Components!AE108,AC108*(1+EarningsRate))</f>
        <v>43226.384002297236</v>
      </c>
      <c r="AE108" s="29">
        <f>'FF Deposit'!AE108+IF(Components!AF108&gt;0,AD108-Components!AF108,AD108*(1+EarningsRate))</f>
        <v>45340.265286923306</v>
      </c>
      <c r="AF108" s="29">
        <f>'FF Deposit'!AF108+IF(Components!AG108&gt;0,AE108-Components!AG108,AE108*(1+EarningsRate))</f>
        <v>47498.538078526522</v>
      </c>
      <c r="AG108" s="29">
        <f>'FF Deposit'!AG108+IF(Components!AH108&gt;0,AF108-Components!AH108,AF108*(1+EarningsRate))</f>
        <v>49702.134598753408</v>
      </c>
      <c r="AH108" s="29">
        <f>'FF Deposit'!AH108+IF(Components!AI108&gt;0,AG108-Components!AI108,AG108*(1+EarningsRate))</f>
        <v>3383.4848885417437</v>
      </c>
      <c r="AI108" s="29">
        <f>'FF Deposit'!AI108+IF(Components!AJ108&gt;0,AH108-Components!AJ108,AH108*(1+EarningsRate))</f>
        <v>6839.8883609894565</v>
      </c>
      <c r="AJ108" s="29">
        <f>'FF Deposit'!AJ108+IF(Components!AK108&gt;0,AI108-Components!AK108,AI108*(1+EarningsRate))</f>
        <v>10368.87630635857</v>
      </c>
      <c r="AK108" s="29">
        <f>'FF Deposit'!AK108+IF(Components!AL108&gt;0,AJ108-Components!AL108,AJ108*(1+EarningsRate))</f>
        <v>13971.972998580435</v>
      </c>
      <c r="AL108" s="29">
        <f>'FF Deposit'!AL108+IF(Components!AM108&gt;0,AK108-Components!AM108,AK108*(1+EarningsRate))</f>
        <v>17650.734721338958</v>
      </c>
      <c r="AM108" s="29">
        <f>'FF Deposit'!AM108+IF(Components!AN108&gt;0,AL108-Components!AN108,AL108*(1+EarningsRate))</f>
        <v>21406.750440275413</v>
      </c>
      <c r="AN108" s="29">
        <f>'FF Deposit'!AN108+IF(Components!AO108&gt;0,AM108-Components!AO108,AM108*(1+EarningsRate))</f>
        <v>25241.642489309532</v>
      </c>
      <c r="AO108" s="29">
        <f>'FF Deposit'!AO108+IF(Components!AP108&gt;0,AN108-Components!AP108,AN108*(1+EarningsRate))</f>
        <v>29157.067271373366</v>
      </c>
      <c r="AP108" s="53"/>
    </row>
    <row r="109" spans="1:42" s="1" customFormat="1">
      <c r="A109" s="220" t="str">
        <f>Components!B109</f>
        <v>Golf Course</v>
      </c>
      <c r="B109" s="220" t="str">
        <f>Components!C109</f>
        <v>Cart Path--Concrete Map C-2, C-5</v>
      </c>
      <c r="C109" s="211"/>
      <c r="D109" s="211"/>
      <c r="E109" s="82">
        <f>AnalysisYear-Components!I109-Components!J109</f>
        <v>6</v>
      </c>
      <c r="F109" s="82">
        <f>IF(H109&lt;0,Components!K109-MOD(AnalysisYear-Components!I109-Components!J109,Components!K109),AnalysisYear-Components!I109-Components!J109)</f>
        <v>6</v>
      </c>
      <c r="G109" s="11">
        <f>ROUND(Components!H109*IF(H109&lt;0,((1+InflationRate)^F109),((1+InflationRate)^H109)),0)</f>
        <v>23822</v>
      </c>
      <c r="H109" s="82">
        <f>IF(E109&gt;=0,Components!K109-E109,E109)</f>
        <v>24</v>
      </c>
      <c r="I109" s="82"/>
      <c r="J109" s="211"/>
      <c r="K109" s="29">
        <f>IF($H109&gt;0,FV(EarningsRate,F109,-'FF Deposit'!L109,1),Components!$H109)</f>
        <v>3654.5551608933174</v>
      </c>
      <c r="L109" s="29">
        <f>'FF Deposit'!L109+IF(Components!M109&gt;0,K109-Components!M109,K109*(1+EarningsRate))</f>
        <v>4309.3702432340342</v>
      </c>
      <c r="M109" s="29">
        <f>'FF Deposit'!M109+IF(Components!N109&gt;0,L109-Components!N109,L109*(1+EarningsRate))</f>
        <v>4977.9364423039051</v>
      </c>
      <c r="N109" s="29">
        <f>'FF Deposit'!N109+IF(Components!O109&gt;0,M109-Components!O109,M109*(1+EarningsRate))</f>
        <v>5660.5425315542434</v>
      </c>
      <c r="O109" s="29">
        <f>'FF Deposit'!O109+IF(Components!P109&gt;0,N109-Components!P109,N109*(1+EarningsRate))</f>
        <v>6357.4833486788393</v>
      </c>
      <c r="P109" s="29">
        <f>'FF Deposit'!P109+IF(Components!Q109&gt;0,O109-Components!Q109,O109*(1+EarningsRate))</f>
        <v>7069.0599229630516</v>
      </c>
      <c r="Q109" s="29">
        <f>'FF Deposit'!Q109+IF(Components!R109&gt;0,P109-Components!R109,P109*(1+EarningsRate))</f>
        <v>7795.5796053072318</v>
      </c>
      <c r="R109" s="29">
        <f>'FF Deposit'!R109+IF(Components!S109&gt;0,Q109-Components!S109,Q109*(1+EarningsRate))</f>
        <v>8537.356200980641</v>
      </c>
      <c r="S109" s="29">
        <f>'FF Deposit'!S109+IF(Components!T109&gt;0,R109-Components!T109,R109*(1+EarningsRate))</f>
        <v>9294.7101051631907</v>
      </c>
      <c r="T109" s="29">
        <f>'FF Deposit'!T109+IF(Components!U109&gt;0,S109-Components!U109,S109*(1+EarningsRate))</f>
        <v>10067.968441333574</v>
      </c>
      <c r="U109" s="29">
        <f>'FF Deposit'!U109+IF(Components!V109&gt;0,T109-Components!V109,T109*(1+EarningsRate))</f>
        <v>10857.465202563535</v>
      </c>
      <c r="V109" s="29">
        <f>'FF Deposit'!V109+IF(Components!W109&gt;0,U109-Components!W109,U109*(1+EarningsRate))</f>
        <v>11663.541395779326</v>
      </c>
      <c r="W109" s="29">
        <f>'FF Deposit'!W109+IF(Components!X109&gt;0,V109-Components!X109,V109*(1+EarningsRate))</f>
        <v>12486.545189052647</v>
      </c>
      <c r="X109" s="29">
        <f>'FF Deposit'!X109+IF(Components!Y109&gt;0,W109-Components!Y109,W109*(1+EarningsRate))</f>
        <v>13326.832061984709</v>
      </c>
      <c r="Y109" s="29">
        <f>'FF Deposit'!Y109+IF(Components!Z109&gt;0,X109-Components!Z109,X109*(1+EarningsRate))</f>
        <v>14184.764959248343</v>
      </c>
      <c r="Z109" s="29">
        <f>'FF Deposit'!Z109+IF(Components!AA109&gt;0,Y109-Components!AA109,Y109*(1+EarningsRate))</f>
        <v>15060.714447354514</v>
      </c>
      <c r="AA109" s="29">
        <f>'FF Deposit'!AA109+IF(Components!AB109&gt;0,Z109-Components!AB109,Z109*(1+EarningsRate))</f>
        <v>15955.058874710914</v>
      </c>
      <c r="AB109" s="29">
        <f>'FF Deposit'!AB109+IF(Components!AC109&gt;0,AA109-Components!AC109,AA109*(1+EarningsRate))</f>
        <v>16868.184535041801</v>
      </c>
      <c r="AC109" s="29">
        <f>'FF Deposit'!AC109+IF(Components!AD109&gt;0,AB109-Components!AD109,AB109*(1+EarningsRate))</f>
        <v>17800.485834239636</v>
      </c>
      <c r="AD109" s="29">
        <f>'FF Deposit'!AD109+IF(Components!AE109&gt;0,AC109-Components!AE109,AC109*(1+EarningsRate))</f>
        <v>18752.365460720626</v>
      </c>
      <c r="AE109" s="29">
        <f>'FF Deposit'!AE109+IF(Components!AF109&gt;0,AD109-Components!AF109,AD109*(1+EarningsRate))</f>
        <v>19724.234559357716</v>
      </c>
      <c r="AF109" s="29">
        <f>'FF Deposit'!AF109+IF(Components!AG109&gt;0,AE109-Components!AG109,AE109*(1+EarningsRate))</f>
        <v>20716.512909066183</v>
      </c>
      <c r="AG109" s="29">
        <f>'FF Deposit'!AG109+IF(Components!AH109&gt;0,AF109-Components!AH109,AF109*(1+EarningsRate))</f>
        <v>21729.629104118529</v>
      </c>
      <c r="AH109" s="29">
        <f>'FF Deposit'!AH109+IF(Components!AI109&gt;0,AG109-Components!AI109,AG109*(1+EarningsRate))</f>
        <v>22764.020739266976</v>
      </c>
      <c r="AI109" s="29">
        <f>'FF Deposit'!AI109+IF(Components!AJ109&gt;0,AH109-Components!AJ109,AH109*(1+EarningsRate))</f>
        <v>23820.134598753539</v>
      </c>
      <c r="AJ109" s="29">
        <f>'FF Deposit'!AJ109+IF(Components!AK109&gt;0,AI109-Components!AK109,AI109*(1+EarningsRate))</f>
        <v>1620.6562188110336</v>
      </c>
      <c r="AK109" s="29">
        <f>'FF Deposit'!AK109+IF(Components!AL109&gt;0,AJ109-Components!AL109,AJ109*(1+EarningsRate))</f>
        <v>3277.2116194635601</v>
      </c>
      <c r="AL109" s="29">
        <f>'FF Deposit'!AL109+IF(Components!AM109&gt;0,AK109-Components!AM109,AK109*(1+EarningsRate))</f>
        <v>4968.5546835297891</v>
      </c>
      <c r="AM109" s="29">
        <f>'FF Deposit'!AM109+IF(Components!AN109&gt;0,AL109-Components!AN109,AL109*(1+EarningsRate))</f>
        <v>6695.4159519414097</v>
      </c>
      <c r="AN109" s="29">
        <f>'FF Deposit'!AN109+IF(Components!AO109&gt;0,AM109-Components!AO109,AM109*(1+EarningsRate))</f>
        <v>8458.5413069896731</v>
      </c>
      <c r="AO109" s="29">
        <f>'FF Deposit'!AO109+IF(Components!AP109&gt;0,AN109-Components!AP109,AN109*(1+EarningsRate))</f>
        <v>10258.692294493949</v>
      </c>
      <c r="AP109" s="53"/>
    </row>
    <row r="110" spans="1:42" s="1" customFormat="1">
      <c r="A110" s="220" t="str">
        <f>Components!B110</f>
        <v>Golf Course</v>
      </c>
      <c r="B110" s="220" t="str">
        <f>Components!C110</f>
        <v>Cart Path--Concrete Map C-3</v>
      </c>
      <c r="C110" s="211"/>
      <c r="D110" s="211"/>
      <c r="E110" s="82">
        <f>AnalysisYear-Components!I110-Components!J110</f>
        <v>7</v>
      </c>
      <c r="F110" s="82">
        <f>IF(H110&lt;0,Components!K110-MOD(AnalysisYear-Components!I110-Components!J110,Components!K110),AnalysisYear-Components!I110-Components!J110)</f>
        <v>7</v>
      </c>
      <c r="G110" s="11">
        <f>ROUND(Components!H110*IF(H110&lt;0,((1+InflationRate)^F110),((1+InflationRate)^H110)),0)</f>
        <v>24454</v>
      </c>
      <c r="H110" s="82">
        <f>IF(E110&gt;=0,Components!K110-E110,E110)</f>
        <v>23</v>
      </c>
      <c r="I110" s="82"/>
      <c r="J110" s="211"/>
      <c r="K110" s="29">
        <f>IF($H110&gt;0,FV(EarningsRate,F110,-'FF Deposit'!L110,1),Components!$H110)</f>
        <v>4423.7289435902449</v>
      </c>
      <c r="L110" s="29">
        <f>'FF Deposit'!L110+IF(Components!M110&gt;0,K110-Components!M110,K110*(1+EarningsRate))</f>
        <v>5110.0329139682162</v>
      </c>
      <c r="M110" s="29">
        <f>'FF Deposit'!M110+IF(Components!N110&gt;0,L110-Components!N110,L110*(1+EarningsRate))</f>
        <v>5810.7492677241244</v>
      </c>
      <c r="N110" s="29">
        <f>'FF Deposit'!N110+IF(Components!O110&gt;0,M110-Components!O110,M110*(1+EarningsRate))</f>
        <v>6526.1806649089067</v>
      </c>
      <c r="O110" s="29">
        <f>'FF Deposit'!O110+IF(Components!P110&gt;0,N110-Components!P110,N110*(1+EarningsRate))</f>
        <v>7256.6361214345698</v>
      </c>
      <c r="P110" s="29">
        <f>'FF Deposit'!P110+IF(Components!Q110&gt;0,O110-Components!Q110,O110*(1+EarningsRate))</f>
        <v>8002.4311425472715</v>
      </c>
      <c r="Q110" s="29">
        <f>'FF Deposit'!Q110+IF(Components!R110&gt;0,P110-Components!R110,P110*(1+EarningsRate))</f>
        <v>8763.8878591033408</v>
      </c>
      <c r="R110" s="29">
        <f>'FF Deposit'!R110+IF(Components!S110&gt;0,Q110-Components!S110,Q110*(1+EarningsRate))</f>
        <v>9541.3351667070856</v>
      </c>
      <c r="S110" s="29">
        <f>'FF Deposit'!S110+IF(Components!T110&gt;0,R110-Components!T110,R110*(1+EarningsRate))</f>
        <v>10335.10886777051</v>
      </c>
      <c r="T110" s="29">
        <f>'FF Deposit'!T110+IF(Components!U110&gt;0,S110-Components!U110,S110*(1+EarningsRate))</f>
        <v>11145.551816556266</v>
      </c>
      <c r="U110" s="29">
        <f>'FF Deposit'!U110+IF(Components!V110&gt;0,T110-Components!V110,T110*(1+EarningsRate))</f>
        <v>11973.014067266524</v>
      </c>
      <c r="V110" s="29">
        <f>'FF Deposit'!V110+IF(Components!W110&gt;0,U110-Components!W110,U110*(1+EarningsRate))</f>
        <v>12817.853025241697</v>
      </c>
      <c r="W110" s="29">
        <f>'FF Deposit'!W110+IF(Components!X110&gt;0,V110-Components!X110,V110*(1+EarningsRate))</f>
        <v>13680.433601334347</v>
      </c>
      <c r="X110" s="29">
        <f>'FF Deposit'!X110+IF(Components!Y110&gt;0,W110-Components!Y110,W110*(1+EarningsRate))</f>
        <v>14561.128369524944</v>
      </c>
      <c r="Y110" s="29">
        <f>'FF Deposit'!Y110+IF(Components!Z110&gt;0,X110-Components!Z110,X110*(1+EarningsRate))</f>
        <v>15460.317727847543</v>
      </c>
      <c r="Z110" s="29">
        <f>'FF Deposit'!Z110+IF(Components!AA110&gt;0,Y110-Components!AA110,Y110*(1+EarningsRate))</f>
        <v>16378.390062694916</v>
      </c>
      <c r="AA110" s="29">
        <f>'FF Deposit'!AA110+IF(Components!AB110&gt;0,Z110-Components!AB110,Z110*(1+EarningsRate))</f>
        <v>17315.741916574087</v>
      </c>
      <c r="AB110" s="29">
        <f>'FF Deposit'!AB110+IF(Components!AC110&gt;0,AA110-Components!AC110,AA110*(1+EarningsRate))</f>
        <v>18272.778159384718</v>
      </c>
      <c r="AC110" s="29">
        <f>'FF Deposit'!AC110+IF(Components!AD110&gt;0,AB110-Components!AD110,AB110*(1+EarningsRate))</f>
        <v>19249.912163294372</v>
      </c>
      <c r="AD110" s="29">
        <f>'FF Deposit'!AD110+IF(Components!AE110&gt;0,AC110-Components!AE110,AC110*(1+EarningsRate))</f>
        <v>20247.56598128613</v>
      </c>
      <c r="AE110" s="29">
        <f>'FF Deposit'!AE110+IF(Components!AF110&gt;0,AD110-Components!AF110,AD110*(1+EarningsRate))</f>
        <v>21266.170529455714</v>
      </c>
      <c r="AF110" s="29">
        <f>'FF Deposit'!AF110+IF(Components!AG110&gt;0,AE110-Components!AG110,AE110*(1+EarningsRate))</f>
        <v>22306.165773136861</v>
      </c>
      <c r="AG110" s="29">
        <f>'FF Deposit'!AG110+IF(Components!AH110&gt;0,AF110-Components!AH110,AF110*(1+EarningsRate))</f>
        <v>23368.000916935311</v>
      </c>
      <c r="AH110" s="29">
        <f>'FF Deposit'!AH110+IF(Components!AI110&gt;0,AG110-Components!AI110,AG110*(1+EarningsRate))</f>
        <v>24452.134598753528</v>
      </c>
      <c r="AI110" s="29">
        <f>'FF Deposit'!AI110+IF(Components!AJ110&gt;0,AH110-Components!AJ110,AH110*(1+EarningsRate))</f>
        <v>1663.7018767690595</v>
      </c>
      <c r="AJ110" s="29">
        <f>'FF Deposit'!AJ110+IF(Components!AK110&gt;0,AI110-Components!AK110,AI110*(1+EarningsRate))</f>
        <v>3364.2068941967409</v>
      </c>
      <c r="AK110" s="29">
        <f>'FF Deposit'!AK110+IF(Components!AL110&gt;0,AJ110-Components!AL110,AJ110*(1+EarningsRate))</f>
        <v>5100.4225169904039</v>
      </c>
      <c r="AL110" s="29">
        <f>'FF Deposit'!AL110+IF(Components!AM110&gt;0,AK110-Components!AM110,AK110*(1+EarningsRate))</f>
        <v>6873.0986678627341</v>
      </c>
      <c r="AM110" s="29">
        <f>'FF Deposit'!AM110+IF(Components!AN110&gt;0,AL110-Components!AN110,AL110*(1+EarningsRate))</f>
        <v>8683.0010179033816</v>
      </c>
      <c r="AN110" s="29">
        <f>'FF Deposit'!AN110+IF(Components!AO110&gt;0,AM110-Components!AO110,AM110*(1+EarningsRate))</f>
        <v>10530.911317294882</v>
      </c>
      <c r="AO110" s="29">
        <f>'FF Deposit'!AO110+IF(Components!AP110&gt;0,AN110-Components!AP110,AN110*(1+EarningsRate))</f>
        <v>12417.627732973604</v>
      </c>
      <c r="AP110" s="53"/>
    </row>
    <row r="111" spans="1:42" s="1" customFormat="1">
      <c r="A111" s="220" t="str">
        <f>Components!B111</f>
        <v>Golf Course</v>
      </c>
      <c r="B111" s="220" t="str">
        <f>Components!C111</f>
        <v>Cart Path--Concrete Map C-4, C-7</v>
      </c>
      <c r="C111" s="211"/>
      <c r="D111" s="211"/>
      <c r="E111" s="82">
        <f>AnalysisYear-Components!I111-Components!J111</f>
        <v>3</v>
      </c>
      <c r="F111" s="82">
        <f>IF(H111&lt;0,Components!K111-MOD(AnalysisYear-Components!I111-Components!J111,Components!K111),AnalysisYear-Components!I111-Components!J111)</f>
        <v>3</v>
      </c>
      <c r="G111" s="11">
        <f>ROUND(Components!H111*IF(H111&lt;0,((1+InflationRate)^F111),((1+InflationRate)^H111)),0)</f>
        <v>92440</v>
      </c>
      <c r="H111" s="82">
        <f>IF(E111&gt;=0,Components!K111-E111,E111)</f>
        <v>27</v>
      </c>
      <c r="I111" s="82"/>
      <c r="J111" s="211"/>
      <c r="K111" s="29">
        <f>IF($H111&gt;0,FV(EarningsRate,F111,-'FF Deposit'!L111,1),Components!$H111)</f>
        <v>6870.747132775723</v>
      </c>
      <c r="L111" s="29">
        <f>'FF Deposit'!L111+IF(Components!M111&gt;0,K111-Components!M111,K111*(1+EarningsRate))</f>
        <v>9258.2003799077829</v>
      </c>
      <c r="M111" s="29">
        <f>'FF Deposit'!M111+IF(Components!N111&gt;0,L111-Components!N111,L111*(1+EarningsRate))</f>
        <v>11695.790145229617</v>
      </c>
      <c r="N111" s="29">
        <f>'FF Deposit'!N111+IF(Components!O111&gt;0,M111-Components!O111,M111*(1+EarningsRate))</f>
        <v>14184.569295623211</v>
      </c>
      <c r="O111" s="29">
        <f>'FF Deposit'!O111+IF(Components!P111&gt;0,N111-Components!P111,N111*(1+EarningsRate))</f>
        <v>16725.612808175068</v>
      </c>
      <c r="P111" s="29">
        <f>'FF Deposit'!P111+IF(Components!Q111&gt;0,O111-Components!Q111,O111*(1+EarningsRate))</f>
        <v>19320.018234490515</v>
      </c>
      <c r="Q111" s="29">
        <f>'FF Deposit'!Q111+IF(Components!R111&gt;0,P111-Components!R111,P111*(1+EarningsRate))</f>
        <v>21968.906174758587</v>
      </c>
      <c r="R111" s="29">
        <f>'FF Deposit'!R111+IF(Components!S111&gt;0,Q111-Components!S111,Q111*(1+EarningsRate))</f>
        <v>24673.420761772286</v>
      </c>
      <c r="S111" s="29">
        <f>'FF Deposit'!S111+IF(Components!T111&gt;0,R111-Components!T111,R111*(1+EarningsRate))</f>
        <v>27434.730155113273</v>
      </c>
      <c r="T111" s="29">
        <f>'FF Deposit'!T111+IF(Components!U111&gt;0,S111-Components!U111,S111*(1+EarningsRate))</f>
        <v>30254.027045714422</v>
      </c>
      <c r="U111" s="29">
        <f>'FF Deposit'!U111+IF(Components!V111&gt;0,T111-Components!V111,T111*(1+EarningsRate))</f>
        <v>33132.529171018192</v>
      </c>
      <c r="V111" s="29">
        <f>'FF Deposit'!V111+IF(Components!W111&gt;0,U111-Components!W111,U111*(1+EarningsRate))</f>
        <v>36071.47984095334</v>
      </c>
      <c r="W111" s="29">
        <f>'FF Deposit'!W111+IF(Components!X111&gt;0,V111-Components!X111,V111*(1+EarningsRate))</f>
        <v>39072.148474957125</v>
      </c>
      <c r="X111" s="29">
        <f>'FF Deposit'!X111+IF(Components!Y111&gt;0,W111-Components!Y111,W111*(1+EarningsRate))</f>
        <v>42135.831150274986</v>
      </c>
      <c r="Y111" s="29">
        <f>'FF Deposit'!Y111+IF(Components!Z111&gt;0,X111-Components!Z111,X111*(1+EarningsRate))</f>
        <v>45263.851161774524</v>
      </c>
      <c r="Z111" s="29">
        <f>'FF Deposit'!Z111+IF(Components!AA111&gt;0,Y111-Components!AA111,Y111*(1+EarningsRate))</f>
        <v>48457.559593515551</v>
      </c>
      <c r="AA111" s="29">
        <f>'FF Deposit'!AA111+IF(Components!AB111&gt;0,Z111-Components!AB111,Z111*(1+EarningsRate))</f>
        <v>51718.335902323139</v>
      </c>
      <c r="AB111" s="29">
        <f>'FF Deposit'!AB111+IF(Components!AC111&gt;0,AA111-Components!AC111,AA111*(1+EarningsRate))</f>
        <v>55047.588513615687</v>
      </c>
      <c r="AC111" s="29">
        <f>'FF Deposit'!AC111+IF(Components!AD111&gt;0,AB111-Components!AD111,AB111*(1+EarningsRate))</f>
        <v>58446.755429745375</v>
      </c>
      <c r="AD111" s="29">
        <f>'FF Deposit'!AD111+IF(Components!AE111&gt;0,AC111-Components!AE111,AC111*(1+EarningsRate))</f>
        <v>61917.304851113789</v>
      </c>
      <c r="AE111" s="29">
        <f>'FF Deposit'!AE111+IF(Components!AF111&gt;0,AD111-Components!AF111,AD111*(1+EarningsRate))</f>
        <v>65460.735810330938</v>
      </c>
      <c r="AF111" s="29">
        <f>'FF Deposit'!AF111+IF(Components!AG111&gt;0,AE111-Components!AG111,AE111*(1+EarningsRate))</f>
        <v>69078.578819691655</v>
      </c>
      <c r="AG111" s="29">
        <f>'FF Deposit'!AG111+IF(Components!AH111&gt;0,AF111-Components!AH111,AF111*(1+EarningsRate))</f>
        <v>72772.396532248938</v>
      </c>
      <c r="AH111" s="29">
        <f>'FF Deposit'!AH111+IF(Components!AI111&gt;0,AG111-Components!AI111,AG111*(1+EarningsRate))</f>
        <v>76543.784416769922</v>
      </c>
      <c r="AI111" s="29">
        <f>'FF Deposit'!AI111+IF(Components!AJ111&gt;0,AH111-Components!AJ111,AH111*(1+EarningsRate))</f>
        <v>80394.371446865858</v>
      </c>
      <c r="AJ111" s="29">
        <f>'FF Deposit'!AJ111+IF(Components!AK111&gt;0,AI111-Components!AK111,AI111*(1+EarningsRate))</f>
        <v>84325.820804593808</v>
      </c>
      <c r="AK111" s="29">
        <f>'FF Deposit'!AK111+IF(Components!AL111&gt;0,AJ111-Components!AL111,AJ111*(1+EarningsRate))</f>
        <v>88339.830598834043</v>
      </c>
      <c r="AL111" s="29">
        <f>'FF Deposit'!AL111+IF(Components!AM111&gt;0,AK111-Components!AM111,AK111*(1+EarningsRate))</f>
        <v>92438.134598753313</v>
      </c>
      <c r="AM111" s="29">
        <f>'FF Deposit'!AM111+IF(Components!AN111&gt;0,AL111-Components!AN111,AL111*(1+EarningsRate))</f>
        <v>6294.2431772989785</v>
      </c>
      <c r="AN111" s="29">
        <f>'FF Deposit'!AN111+IF(Components!AO111&gt;0,AM111-Components!AO111,AM111*(1+EarningsRate))</f>
        <v>12722.530862567921</v>
      </c>
      <c r="AO111" s="29">
        <f>'FF Deposit'!AO111+IF(Components!AP111&gt;0,AN111-Components!AP111,AN111*(1+EarningsRate))</f>
        <v>19285.812589227513</v>
      </c>
      <c r="AP111" s="53"/>
    </row>
    <row r="112" spans="1:42" s="1" customFormat="1">
      <c r="A112" s="220" t="str">
        <f>Components!B112</f>
        <v>Golf Course</v>
      </c>
      <c r="B112" s="220" t="str">
        <f>Components!C112</f>
        <v>Cart Path--Concrete Map C-6</v>
      </c>
      <c r="C112" s="211"/>
      <c r="D112" s="211"/>
      <c r="E112" s="82">
        <f>AnalysisYear-Components!I112-Components!J112</f>
        <v>3</v>
      </c>
      <c r="F112" s="82">
        <f>IF(H112&lt;0,Components!K112-MOD(AnalysisYear-Components!I112-Components!J112,Components!K112),AnalysisYear-Components!I112-Components!J112)</f>
        <v>3</v>
      </c>
      <c r="G112" s="11">
        <f>ROUND(Components!H112*IF(H112&lt;0,((1+InflationRate)^F112),((1+InflationRate)^H112)),0)</f>
        <v>39145</v>
      </c>
      <c r="H112" s="82">
        <f>IF(E112&gt;=0,Components!K112-E112,E112)</f>
        <v>27</v>
      </c>
      <c r="I112" s="82"/>
      <c r="J112" s="211"/>
      <c r="K112" s="29">
        <f>IF($H112&gt;0,FV(EarningsRate,F112,-'FF Deposit'!L112,1),Components!$H112)</f>
        <v>2908.8995340183442</v>
      </c>
      <c r="L112" s="29">
        <f>'FF Deposit'!L112+IF(Components!M112&gt;0,K112-Components!M112,K112*(1+EarningsRate))</f>
        <v>3919.8868356587559</v>
      </c>
      <c r="M112" s="29">
        <f>'FF Deposit'!M112+IF(Components!N112&gt;0,L112-Components!N112,L112*(1+EarningsRate))</f>
        <v>4952.104870633616</v>
      </c>
      <c r="N112" s="29">
        <f>'FF Deposit'!N112+IF(Components!O112&gt;0,M112-Components!O112,M112*(1+EarningsRate))</f>
        <v>6005.9994843429486</v>
      </c>
      <c r="O112" s="29">
        <f>'FF Deposit'!O112+IF(Components!P112&gt;0,N112-Components!P112,N112*(1+EarningsRate))</f>
        <v>7082.0258849401771</v>
      </c>
      <c r="P112" s="29">
        <f>'FF Deposit'!P112+IF(Components!Q112&gt;0,O112-Components!Q112,O112*(1+EarningsRate))</f>
        <v>8180.6488399499467</v>
      </c>
      <c r="Q112" s="29">
        <f>'FF Deposit'!Q112+IF(Components!R112&gt;0,P112-Components!R112,P112*(1+EarningsRate))</f>
        <v>9302.3428770149203</v>
      </c>
      <c r="R112" s="29">
        <f>'FF Deposit'!R112+IF(Components!S112&gt;0,Q112-Components!S112,Q112*(1+EarningsRate))</f>
        <v>10447.592488858259</v>
      </c>
      <c r="S112" s="29">
        <f>'FF Deposit'!S112+IF(Components!T112&gt;0,R112-Components!T112,R112*(1+EarningsRate))</f>
        <v>11616.892342550307</v>
      </c>
      <c r="T112" s="29">
        <f>'FF Deposit'!T112+IF(Components!U112&gt;0,S112-Components!U112,S112*(1+EarningsRate))</f>
        <v>12810.747493169889</v>
      </c>
      <c r="U112" s="29">
        <f>'FF Deposit'!U112+IF(Components!V112&gt;0,T112-Components!V112,T112*(1+EarningsRate))</f>
        <v>14029.673601952481</v>
      </c>
      <c r="V112" s="29">
        <f>'FF Deposit'!V112+IF(Components!W112&gt;0,U112-Components!W112,U112*(1+EarningsRate))</f>
        <v>15274.197159019508</v>
      </c>
      <c r="W112" s="29">
        <f>'FF Deposit'!W112+IF(Components!X112&gt;0,V112-Components!X112,V112*(1+EarningsRate))</f>
        <v>16544.855710784945</v>
      </c>
      <c r="X112" s="29">
        <f>'FF Deposit'!X112+IF(Components!Y112&gt;0,W112-Components!Y112,W112*(1+EarningsRate))</f>
        <v>17842.198092137456</v>
      </c>
      <c r="Y112" s="29">
        <f>'FF Deposit'!Y112+IF(Components!Z112&gt;0,X112-Components!Z112,X112*(1+EarningsRate))</f>
        <v>19166.784663498369</v>
      </c>
      <c r="Z112" s="29">
        <f>'FF Deposit'!Z112+IF(Components!AA112&gt;0,Y112-Components!AA112,Y112*(1+EarningsRate))</f>
        <v>20519.18755285786</v>
      </c>
      <c r="AA112" s="29">
        <f>'FF Deposit'!AA112+IF(Components!AB112&gt;0,Z112-Components!AB112,Z112*(1+EarningsRate))</f>
        <v>21899.9909028939</v>
      </c>
      <c r="AB112" s="29">
        <f>'FF Deposit'!AB112+IF(Components!AC112&gt;0,AA112-Components!AC112,AA112*(1+EarningsRate))</f>
        <v>23309.791123280698</v>
      </c>
      <c r="AC112" s="29">
        <f>'FF Deposit'!AC112+IF(Components!AD112&gt;0,AB112-Components!AD112,AB112*(1+EarningsRate))</f>
        <v>24749.197148295618</v>
      </c>
      <c r="AD112" s="29">
        <f>'FF Deposit'!AD112+IF(Components!AE112&gt;0,AC112-Components!AE112,AC112*(1+EarningsRate))</f>
        <v>26218.830699835853</v>
      </c>
      <c r="AE112" s="29">
        <f>'FF Deposit'!AE112+IF(Components!AF112&gt;0,AD112-Components!AF112,AD112*(1+EarningsRate))</f>
        <v>27719.326555958432</v>
      </c>
      <c r="AF112" s="29">
        <f>'FF Deposit'!AF112+IF(Components!AG112&gt;0,AE112-Components!AG112,AE112*(1+EarningsRate))</f>
        <v>29251.332825059584</v>
      </c>
      <c r="AG112" s="29">
        <f>'FF Deposit'!AG112+IF(Components!AH112&gt;0,AF112-Components!AH112,AF112*(1+EarningsRate))</f>
        <v>30815.511225811861</v>
      </c>
      <c r="AH112" s="29">
        <f>'FF Deposit'!AH112+IF(Components!AI112&gt;0,AG112-Components!AI112,AG112*(1+EarningsRate))</f>
        <v>32412.537372979936</v>
      </c>
      <c r="AI112" s="29">
        <f>'FF Deposit'!AI112+IF(Components!AJ112&gt;0,AH112-Components!AJ112,AH112*(1+EarningsRate))</f>
        <v>34043.101069238539</v>
      </c>
      <c r="AJ112" s="29">
        <f>'FF Deposit'!AJ112+IF(Components!AK112&gt;0,AI112-Components!AK112,AI112*(1+EarningsRate))</f>
        <v>35707.906603118572</v>
      </c>
      <c r="AK112" s="29">
        <f>'FF Deposit'!AK112+IF(Components!AL112&gt;0,AJ112-Components!AL112,AJ112*(1+EarningsRate))</f>
        <v>37407.673053210085</v>
      </c>
      <c r="AL112" s="29">
        <f>'FF Deposit'!AL112+IF(Components!AM112&gt;0,AK112-Components!AM112,AK112*(1+EarningsRate))</f>
        <v>39143.134598753517</v>
      </c>
      <c r="AM112" s="29">
        <f>'FF Deposit'!AM112+IF(Components!AN112&gt;0,AL112-Components!AN112,AL112*(1+EarningsRate))</f>
        <v>2664.3090936385242</v>
      </c>
      <c r="AN112" s="29">
        <f>'FF Deposit'!AN112+IF(Components!AO112&gt;0,AM112-Components!AO112,AM112*(1+EarningsRate))</f>
        <v>5386.4340794899399</v>
      </c>
      <c r="AO112" s="29">
        <f>'FF Deposit'!AO112+IF(Components!AP112&gt;0,AN112-Components!AP112,AN112*(1+EarningsRate))</f>
        <v>8165.7236900442358</v>
      </c>
      <c r="AP112" s="53"/>
    </row>
    <row r="113" spans="1:42" s="1" customFormat="1">
      <c r="A113" s="220" t="str">
        <f>Components!B113</f>
        <v>Golf Course</v>
      </c>
      <c r="B113" s="220" t="str">
        <f>Components!C113</f>
        <v>Golf Course Bridge</v>
      </c>
      <c r="C113" s="211"/>
      <c r="D113" s="211"/>
      <c r="E113" s="82">
        <f>AnalysisYear-Components!I113-Components!J113</f>
        <v>27</v>
      </c>
      <c r="F113" s="82">
        <f>IF(H113&lt;0,Components!K113-MOD(AnalysisYear-Components!I113-Components!J113,Components!K113),AnalysisYear-Components!I113-Components!J113)</f>
        <v>27</v>
      </c>
      <c r="G113" s="11">
        <f>ROUND(Components!H113*IF(H113&lt;0,((1+InflationRate)^F113),((1+InflationRate)^H113)),0)</f>
        <v>190232</v>
      </c>
      <c r="H113" s="82">
        <f>IF(E113&gt;=0,Components!K113-E113,E113)</f>
        <v>3</v>
      </c>
      <c r="I113" s="82"/>
      <c r="J113" s="211"/>
      <c r="K113" s="29">
        <f>IF($H113&gt;0,FV(EarningsRate,F113,-'FF Deposit'!L113,1),Components!$H113)</f>
        <v>165445.19108789958</v>
      </c>
      <c r="L113" s="29">
        <f>'FF Deposit'!L113+IF(Components!M113&gt;0,K113-Components!M113,K113*(1+EarningsRate))</f>
        <v>173535.74791953192</v>
      </c>
      <c r="M113" s="29">
        <f>'FF Deposit'!M113+IF(Components!N113&gt;0,L113-Components!N113,L113*(1+EarningsRate))</f>
        <v>181796.20644462854</v>
      </c>
      <c r="N113" s="29">
        <f>'FF Deposit'!N113+IF(Components!O113&gt;0,M113-Components!O113,M113*(1+EarningsRate))</f>
        <v>190230.13459875219</v>
      </c>
      <c r="O113" s="29">
        <f>'FF Deposit'!O113+IF(Components!P113&gt;0,N113-Components!P113,N113*(1+EarningsRate))</f>
        <v>12954.87764412107</v>
      </c>
      <c r="P113" s="29">
        <f>'FF Deposit'!P113+IF(Components!Q113&gt;0,O113-Components!Q113,O113*(1+EarningsRate))</f>
        <v>26183.673120016487</v>
      </c>
      <c r="Q113" s="29">
        <f>'FF Deposit'!Q113+IF(Components!R113&gt;0,P113-Components!R113,P113*(1+EarningsRate))</f>
        <v>39690.273300905705</v>
      </c>
      <c r="R113" s="29">
        <f>'FF Deposit'!R113+IF(Components!S113&gt;0,Q113-Components!S113,Q113*(1+EarningsRate))</f>
        <v>53480.512085593597</v>
      </c>
      <c r="S113" s="29">
        <f>'FF Deposit'!S113+IF(Components!T113&gt;0,R113-Components!T113,R113*(1+EarningsRate))</f>
        <v>67560.34588475994</v>
      </c>
      <c r="T113" s="29">
        <f>'FF Deposit'!T113+IF(Components!U113&gt;0,S113-Components!U113,S113*(1+EarningsRate))</f>
        <v>81935.856193708765</v>
      </c>
      <c r="U113" s="29">
        <f>'FF Deposit'!U113+IF(Components!V113&gt;0,T113-Components!V113,T113*(1+EarningsRate))</f>
        <v>96613.252219145521</v>
      </c>
      <c r="V113" s="29">
        <f>'FF Deposit'!V113+IF(Components!W113&gt;0,U113-Components!W113,U113*(1+EarningsRate))</f>
        <v>111598.87356111644</v>
      </c>
      <c r="W113" s="29">
        <f>'FF Deposit'!W113+IF(Components!X113&gt;0,V113-Components!X113,V113*(1+EarningsRate))</f>
        <v>126899.19295126875</v>
      </c>
      <c r="X113" s="29">
        <f>'FF Deposit'!X113+IF(Components!Y113&gt;0,W113-Components!Y113,W113*(1+EarningsRate))</f>
        <v>142520.81904861427</v>
      </c>
      <c r="Y113" s="29">
        <f>'FF Deposit'!Y113+IF(Components!Z113&gt;0,X113-Components!Z113,X113*(1+EarningsRate))</f>
        <v>158470.49929400402</v>
      </c>
      <c r="Z113" s="29">
        <f>'FF Deposit'!Z113+IF(Components!AA113&gt;0,Y113-Components!AA113,Y113*(1+EarningsRate))</f>
        <v>174755.12282454697</v>
      </c>
      <c r="AA113" s="29">
        <f>'FF Deposit'!AA113+IF(Components!AB113&gt;0,Z113-Components!AB113,Z113*(1+EarningsRate))</f>
        <v>191381.7234492313</v>
      </c>
      <c r="AB113" s="29">
        <f>'FF Deposit'!AB113+IF(Components!AC113&gt;0,AA113-Components!AC113,AA113*(1+EarningsRate))</f>
        <v>208357.482687034</v>
      </c>
      <c r="AC113" s="29">
        <f>'FF Deposit'!AC113+IF(Components!AD113&gt;0,AB113-Components!AD113,AB113*(1+EarningsRate))</f>
        <v>225689.73286883056</v>
      </c>
      <c r="AD113" s="29">
        <f>'FF Deposit'!AD113+IF(Components!AE113&gt;0,AC113-Components!AE113,AC113*(1+EarningsRate))</f>
        <v>243385.96030444486</v>
      </c>
      <c r="AE113" s="29">
        <f>'FF Deposit'!AE113+IF(Components!AF113&gt;0,AD113-Components!AF113,AD113*(1+EarningsRate))</f>
        <v>261453.80851620706</v>
      </c>
      <c r="AF113" s="29">
        <f>'FF Deposit'!AF113+IF(Components!AG113&gt;0,AE113-Components!AG113,AE113*(1+EarningsRate))</f>
        <v>279901.08154041629</v>
      </c>
      <c r="AG113" s="29">
        <f>'FF Deposit'!AG113+IF(Components!AH113&gt;0,AF113-Components!AH113,AF113*(1+EarningsRate))</f>
        <v>298735.74729813385</v>
      </c>
      <c r="AH113" s="29">
        <f>'FF Deposit'!AH113+IF(Components!AI113&gt;0,AG113-Components!AI113,AG113*(1+EarningsRate))</f>
        <v>317965.94103676348</v>
      </c>
      <c r="AI113" s="29">
        <f>'FF Deposit'!AI113+IF(Components!AJ113&gt;0,AH113-Components!AJ113,AH113*(1+EarningsRate))</f>
        <v>337599.96884390438</v>
      </c>
      <c r="AJ113" s="29">
        <f>'FF Deposit'!AJ113+IF(Components!AK113&gt;0,AI113-Components!AK113,AI113*(1+EarningsRate))</f>
        <v>357646.3112349952</v>
      </c>
      <c r="AK113" s="29">
        <f>'FF Deposit'!AK113+IF(Components!AL113&gt;0,AJ113-Components!AL113,AJ113*(1+EarningsRate))</f>
        <v>378113.62681629893</v>
      </c>
      <c r="AL113" s="29">
        <f>'FF Deposit'!AL113+IF(Components!AM113&gt;0,AK113-Components!AM113,AK113*(1+EarningsRate))</f>
        <v>399010.75602481002</v>
      </c>
      <c r="AM113" s="29">
        <f>'FF Deposit'!AM113+IF(Components!AN113&gt;0,AL113-Components!AN113,AL113*(1+EarningsRate))</f>
        <v>420346.72494669986</v>
      </c>
      <c r="AN113" s="29">
        <f>'FF Deposit'!AN113+IF(Components!AO113&gt;0,AM113-Components!AO113,AM113*(1+EarningsRate))</f>
        <v>442130.74921594938</v>
      </c>
      <c r="AO113" s="29">
        <f>'FF Deposit'!AO113+IF(Components!AP113&gt;0,AN113-Components!AP113,AN113*(1+EarningsRate))</f>
        <v>464372.23799485317</v>
      </c>
      <c r="AP113" s="53"/>
    </row>
    <row r="114" spans="1:42" s="1" customFormat="1">
      <c r="A114" s="220" t="str">
        <f>Components!B114</f>
        <v>Golf Course</v>
      </c>
      <c r="B114" s="220" t="str">
        <f>Components!C114</f>
        <v>Fence, Level Spreader</v>
      </c>
      <c r="C114" s="211"/>
      <c r="D114" s="211"/>
      <c r="E114" s="82">
        <f>AnalysisYear-Components!I114-Components!J114</f>
        <v>7</v>
      </c>
      <c r="F114" s="82">
        <f>IF(H114&lt;0,Components!K114-MOD(AnalysisYear-Components!I114-Components!J114,Components!K114),AnalysisYear-Components!I114-Components!J114)</f>
        <v>7</v>
      </c>
      <c r="G114" s="11">
        <f>ROUND(Components!H114*IF(H114&lt;0,((1+InflationRate)^F114),((1+InflationRate)^H114)),0)</f>
        <v>33435</v>
      </c>
      <c r="H114" s="82">
        <f>IF(E114&gt;=0,Components!K114-E114,E114)</f>
        <v>23</v>
      </c>
      <c r="I114" s="82"/>
      <c r="J114" s="211"/>
      <c r="K114" s="29">
        <f>IF($H114&gt;0,FV(EarningsRate,F114,-'FF Deposit'!L114,1),Components!$H114)</f>
        <v>6048.8167408990394</v>
      </c>
      <c r="L114" s="29">
        <f>'FF Deposit'!L114+IF(Components!M114&gt;0,K114-Components!M114,K114*(1+EarningsRate))</f>
        <v>6987.1823000713866</v>
      </c>
      <c r="M114" s="29">
        <f>'FF Deposit'!M114+IF(Components!N114&gt;0,L114-Components!N114,L114*(1+EarningsRate))</f>
        <v>7945.2535359863523</v>
      </c>
      <c r="N114" s="29">
        <f>'FF Deposit'!N114+IF(Components!O114&gt;0,M114-Components!O114,M114*(1+EarningsRate))</f>
        <v>8923.4442678555333</v>
      </c>
      <c r="O114" s="29">
        <f>'FF Deposit'!O114+IF(Components!P114&gt;0,N114-Components!P114,N114*(1+EarningsRate))</f>
        <v>9922.1770050939667</v>
      </c>
      <c r="P114" s="29">
        <f>'FF Deposit'!P114+IF(Components!Q114&gt;0,O114-Components!Q114,O114*(1+EarningsRate))</f>
        <v>10941.883129814407</v>
      </c>
      <c r="Q114" s="29">
        <f>'FF Deposit'!Q114+IF(Components!R114&gt;0,P114-Components!R114,P114*(1+EarningsRate))</f>
        <v>11983.003083153977</v>
      </c>
      <c r="R114" s="29">
        <f>'FF Deposit'!R114+IF(Components!S114&gt;0,Q114-Components!S114,Q114*(1+EarningsRate))</f>
        <v>13045.986555513678</v>
      </c>
      <c r="S114" s="29">
        <f>'FF Deposit'!S114+IF(Components!T114&gt;0,R114-Components!T114,R114*(1+EarningsRate))</f>
        <v>14131.292680792933</v>
      </c>
      <c r="T114" s="29">
        <f>'FF Deposit'!T114+IF(Components!U114&gt;0,S114-Components!U114,S114*(1+EarningsRate))</f>
        <v>15239.390234703051</v>
      </c>
      <c r="U114" s="29">
        <f>'FF Deposit'!U114+IF(Components!V114&gt;0,T114-Components!V114,T114*(1+EarningsRate))</f>
        <v>16370.757837245283</v>
      </c>
      <c r="V114" s="29">
        <f>'FF Deposit'!V114+IF(Components!W114&gt;0,U114-Components!W114,U114*(1+EarningsRate))</f>
        <v>17525.884159440902</v>
      </c>
      <c r="W114" s="29">
        <f>'FF Deposit'!W114+IF(Components!X114&gt;0,V114-Components!X114,V114*(1+EarningsRate))</f>
        <v>18705.268134402628</v>
      </c>
      <c r="X114" s="29">
        <f>'FF Deposit'!X114+IF(Components!Y114&gt;0,W114-Components!Y114,W114*(1+EarningsRate))</f>
        <v>19909.419172838549</v>
      </c>
      <c r="Y114" s="29">
        <f>'FF Deposit'!Y114+IF(Components!Z114&gt;0,X114-Components!Z114,X114*(1+EarningsRate))</f>
        <v>21138.857383081624</v>
      </c>
      <c r="Z114" s="29">
        <f>'FF Deposit'!Z114+IF(Components!AA114&gt;0,Y114-Components!AA114,Y114*(1+EarningsRate))</f>
        <v>22394.113795739806</v>
      </c>
      <c r="AA114" s="29">
        <f>'FF Deposit'!AA114+IF(Components!AB114&gt;0,Z114-Components!AB114,Z114*(1+EarningsRate))</f>
        <v>23675.730593063807</v>
      </c>
      <c r="AB114" s="29">
        <f>'FF Deposit'!AB114+IF(Components!AC114&gt;0,AA114-Components!AC114,AA114*(1+EarningsRate))</f>
        <v>24984.261343131613</v>
      </c>
      <c r="AC114" s="29">
        <f>'FF Deposit'!AC114+IF(Components!AD114&gt;0,AB114-Components!AD114,AB114*(1+EarningsRate))</f>
        <v>26320.271238950842</v>
      </c>
      <c r="AD114" s="29">
        <f>'FF Deposit'!AD114+IF(Components!AE114&gt;0,AC114-Components!AE114,AC114*(1+EarningsRate))</f>
        <v>27684.337342582276</v>
      </c>
      <c r="AE114" s="29">
        <f>'FF Deposit'!AE114+IF(Components!AF114&gt;0,AD114-Components!AF114,AD114*(1+EarningsRate))</f>
        <v>29077.048834389971</v>
      </c>
      <c r="AF114" s="29">
        <f>'FF Deposit'!AF114+IF(Components!AG114&gt;0,AE114-Components!AG114,AE114*(1+EarningsRate))</f>
        <v>30499.007267525627</v>
      </c>
      <c r="AG114" s="29">
        <f>'FF Deposit'!AG114+IF(Components!AH114&gt;0,AF114-Components!AH114,AF114*(1+EarningsRate))</f>
        <v>31950.82682775713</v>
      </c>
      <c r="AH114" s="29">
        <f>'FF Deposit'!AH114+IF(Components!AI114&gt;0,AG114-Components!AI114,AG114*(1+EarningsRate))</f>
        <v>33433.134598753495</v>
      </c>
      <c r="AI114" s="29">
        <f>'FF Deposit'!AI114+IF(Components!AJ114&gt;0,AH114-Components!AJ114,AH114*(1+EarningsRate))</f>
        <v>2275.3997472138408</v>
      </c>
      <c r="AJ114" s="29">
        <f>'FF Deposit'!AJ114+IF(Components!AK114&gt;0,AI114-Components!AK114,AI114*(1+EarningsRate))</f>
        <v>4600.4482903656772</v>
      </c>
      <c r="AK114" s="29">
        <f>'FF Deposit'!AK114+IF(Components!AL114&gt;0,AJ114-Components!AL114,AJ114*(1+EarningsRate))</f>
        <v>6974.3228529237012</v>
      </c>
      <c r="AL114" s="29">
        <f>'FF Deposit'!AL114+IF(Components!AM114&gt;0,AK114-Components!AM114,AK114*(1+EarningsRate))</f>
        <v>9398.0487812954452</v>
      </c>
      <c r="AM114" s="29">
        <f>'FF Deposit'!AM114+IF(Components!AN114&gt;0,AL114-Components!AN114,AL114*(1+EarningsRate))</f>
        <v>11872.672954162994</v>
      </c>
      <c r="AN114" s="29">
        <f>'FF Deposit'!AN114+IF(Components!AO114&gt;0,AM114-Components!AO114,AM114*(1+EarningsRate))</f>
        <v>14399.264234660761</v>
      </c>
      <c r="AO114" s="29">
        <f>'FF Deposit'!AO114+IF(Components!AP114&gt;0,AN114-Components!AP114,AN114*(1+EarningsRate))</f>
        <v>16978.913932048981</v>
      </c>
      <c r="AP114" s="53"/>
    </row>
    <row r="115" spans="1:42" s="1" customFormat="1">
      <c r="A115" s="220" t="str">
        <f>Components!B115</f>
        <v>Golf Course</v>
      </c>
      <c r="B115" s="220" t="str">
        <f>Components!C115</f>
        <v>Golf Course Scoreboard</v>
      </c>
      <c r="C115" s="211"/>
      <c r="D115" s="211"/>
      <c r="E115" s="82">
        <f>AnalysisYear-Components!I115-Components!J115</f>
        <v>7</v>
      </c>
      <c r="F115" s="82">
        <f>IF(H115&lt;0,Components!K115-MOD(AnalysisYear-Components!I115-Components!J115,Components!K115),AnalysisYear-Components!I115-Components!J115)</f>
        <v>7</v>
      </c>
      <c r="G115" s="11">
        <f>ROUND(Components!H115*IF(H115&lt;0,((1+InflationRate)^F115),((1+InflationRate)^H115)),0)</f>
        <v>14568</v>
      </c>
      <c r="H115" s="82">
        <f>IF(E115&gt;=0,Components!K115-E115,E115)</f>
        <v>13</v>
      </c>
      <c r="I115" s="82"/>
      <c r="J115" s="211"/>
      <c r="K115" s="29">
        <f>IF($H115&gt;0,FV(EarningsRate,F115,-'FF Deposit'!L115,1),Components!$H115)</f>
        <v>4425.3564570615627</v>
      </c>
      <c r="L115" s="29">
        <f>'FF Deposit'!L115+IF(Components!M115&gt;0,K115-Components!M115,K115*(1+EarningsRate))</f>
        <v>5111.9128652659974</v>
      </c>
      <c r="M115" s="29">
        <f>'FF Deposit'!M115+IF(Components!N115&gt;0,L115-Components!N115,L115*(1+EarningsRate))</f>
        <v>5812.8869580427254</v>
      </c>
      <c r="N115" s="29">
        <f>'FF Deposit'!N115+IF(Components!O115&gt;0,M115-Components!O115,M115*(1+EarningsRate))</f>
        <v>6528.5815067677649</v>
      </c>
      <c r="O115" s="29">
        <f>'FF Deposit'!O115+IF(Components!P115&gt;0,N115-Components!P115,N115*(1+EarningsRate))</f>
        <v>7259.3056410160298</v>
      </c>
      <c r="P115" s="29">
        <f>'FF Deposit'!P115+IF(Components!Q115&gt;0,O115-Components!Q115,O115*(1+EarningsRate))</f>
        <v>8005.3749820835083</v>
      </c>
      <c r="Q115" s="29">
        <f>'FF Deposit'!Q115+IF(Components!R115&gt;0,P115-Components!R115,P115*(1+EarningsRate))</f>
        <v>8767.1117793134035</v>
      </c>
      <c r="R115" s="29">
        <f>'FF Deposit'!R115+IF(Components!S115&gt;0,Q115-Components!S115,Q115*(1+EarningsRate))</f>
        <v>9544.8450492851262</v>
      </c>
      <c r="S115" s="29">
        <f>'FF Deposit'!S115+IF(Components!T115&gt;0,R115-Components!T115,R115*(1+EarningsRate))</f>
        <v>10338.910717926256</v>
      </c>
      <c r="T115" s="29">
        <f>'FF Deposit'!T115+IF(Components!U115&gt;0,S115-Components!U115,S115*(1+EarningsRate))</f>
        <v>11149.651765608849</v>
      </c>
      <c r="U115" s="29">
        <f>'FF Deposit'!U115+IF(Components!V115&gt;0,T115-Components!V115,T115*(1+EarningsRate))</f>
        <v>11977.418375292777</v>
      </c>
      <c r="V115" s="29">
        <f>'FF Deposit'!V115+IF(Components!W115&gt;0,U115-Components!W115,U115*(1+EarningsRate))</f>
        <v>12822.568083780066</v>
      </c>
      <c r="W115" s="29">
        <f>'FF Deposit'!W115+IF(Components!X115&gt;0,V115-Components!X115,V115*(1+EarningsRate))</f>
        <v>13685.465936145589</v>
      </c>
      <c r="X115" s="29">
        <f>'FF Deposit'!X115+IF(Components!Y115&gt;0,W115-Components!Y115,W115*(1+EarningsRate))</f>
        <v>14566.484643410788</v>
      </c>
      <c r="Y115" s="29">
        <f>'FF Deposit'!Y115+IF(Components!Z115&gt;0,X115-Components!Z115,X115*(1+EarningsRate))</f>
        <v>1179.6709136993989</v>
      </c>
      <c r="Z115" s="29">
        <f>'FF Deposit'!Z115+IF(Components!AA115&gt;0,Y115-Components!AA115,Y115*(1+EarningsRate))</f>
        <v>2385.6302731756973</v>
      </c>
      <c r="AA115" s="29">
        <f>'FF Deposit'!AA115+IF(Components!AB115&gt;0,Z115-Components!AB115,Z115*(1+EarningsRate))</f>
        <v>3616.9147792009981</v>
      </c>
      <c r="AB115" s="29">
        <f>'FF Deposit'!AB115+IF(Components!AC115&gt;0,AA115-Components!AC115,AA115*(1+EarningsRate))</f>
        <v>4874.0562598528295</v>
      </c>
      <c r="AC115" s="29">
        <f>'FF Deposit'!AC115+IF(Components!AD115&gt;0,AB115-Components!AD115,AB115*(1+EarningsRate))</f>
        <v>6157.5977115983496</v>
      </c>
      <c r="AD115" s="29">
        <f>'FF Deposit'!AD115+IF(Components!AE115&gt;0,AC115-Components!AE115,AC115*(1+EarningsRate))</f>
        <v>7468.0935338305253</v>
      </c>
      <c r="AE115" s="29">
        <f>'FF Deposit'!AE115+IF(Components!AF115&gt;0,AD115-Components!AF115,AD115*(1+EarningsRate))</f>
        <v>8806.1097683295775</v>
      </c>
      <c r="AF115" s="29">
        <f>'FF Deposit'!AF115+IF(Components!AG115&gt;0,AE115-Components!AG115,AE115*(1+EarningsRate))</f>
        <v>10172.224343753111</v>
      </c>
      <c r="AG115" s="29">
        <f>'FF Deposit'!AG115+IF(Components!AH115&gt;0,AF115-Components!AH115,AF115*(1+EarningsRate))</f>
        <v>11567.027325260537</v>
      </c>
      <c r="AH115" s="29">
        <f>'FF Deposit'!AH115+IF(Components!AI115&gt;0,AG115-Components!AI115,AG115*(1+EarningsRate))</f>
        <v>12991.121169379619</v>
      </c>
      <c r="AI115" s="29">
        <f>'FF Deposit'!AI115+IF(Components!AJ115&gt;0,AH115-Components!AJ115,AH115*(1+EarningsRate))</f>
        <v>14445.120984225203</v>
      </c>
      <c r="AJ115" s="29">
        <f>'FF Deposit'!AJ115+IF(Components!AK115&gt;0,AI115-Components!AK115,AI115*(1+EarningsRate))</f>
        <v>15929.654795182543</v>
      </c>
      <c r="AK115" s="29">
        <f>'FF Deposit'!AK115+IF(Components!AL115&gt;0,AJ115-Components!AL115,AJ115*(1+EarningsRate))</f>
        <v>17445.363816169986</v>
      </c>
      <c r="AL115" s="29">
        <f>'FF Deposit'!AL115+IF(Components!AM115&gt;0,AK115-Components!AM115,AK115*(1+EarningsRate))</f>
        <v>18992.902726598164</v>
      </c>
      <c r="AM115" s="29">
        <f>'FF Deposit'!AM115+IF(Components!AN115&gt;0,AL115-Components!AN115,AL115*(1+EarningsRate))</f>
        <v>20572.939954145335</v>
      </c>
      <c r="AN115" s="29">
        <f>'FF Deposit'!AN115+IF(Components!AO115&gt;0,AM115-Components!AO115,AM115*(1+EarningsRate))</f>
        <v>22186.157963470996</v>
      </c>
      <c r="AO115" s="29">
        <f>'FF Deposit'!AO115+IF(Components!AP115&gt;0,AN115-Components!AP115,AN115*(1+EarningsRate))</f>
        <v>23833.253550992496</v>
      </c>
      <c r="AP115" s="53"/>
    </row>
    <row r="116" spans="1:42" s="1" customFormat="1">
      <c r="A116" s="220" t="str">
        <f>Components!B116</f>
        <v>Golf Course</v>
      </c>
      <c r="B116" s="220" t="str">
        <f>Components!C116</f>
        <v>Irrigation Design</v>
      </c>
      <c r="C116" s="211"/>
      <c r="D116" s="211"/>
      <c r="E116" s="82">
        <f>AnalysisYear-Components!I116-Components!J116</f>
        <v>5</v>
      </c>
      <c r="F116" s="82">
        <f>IF(H116&lt;0,Components!K116-MOD(AnalysisYear-Components!I116-Components!J116,Components!K116),AnalysisYear-Components!I116-Components!J116)</f>
        <v>5</v>
      </c>
      <c r="G116" s="11">
        <f>ROUND(Components!H116*IF(H116&lt;0,((1+InflationRate)^F116),((1+InflationRate)^H116)),0)</f>
        <v>19691</v>
      </c>
      <c r="H116" s="82">
        <f>IF(E116&gt;=0,Components!K116-E116,E116)</f>
        <v>15</v>
      </c>
      <c r="I116" s="82"/>
      <c r="J116" s="211"/>
      <c r="K116" s="29">
        <f>IF($H116&gt;0,FV(EarningsRate,F116,-'FF Deposit'!L116,1),Components!$H116)</f>
        <v>4182.8578054526424</v>
      </c>
      <c r="L116" s="29">
        <f>'FF Deposit'!L116+IF(Components!M116&gt;0,K116-Components!M116,K116*(1+EarningsRate))</f>
        <v>5073.0762282110209</v>
      </c>
      <c r="M116" s="29">
        <f>'FF Deposit'!M116+IF(Components!N116&gt;0,L116-Components!N116,L116*(1+EarningsRate))</f>
        <v>5981.9892378473251</v>
      </c>
      <c r="N116" s="29">
        <f>'FF Deposit'!N116+IF(Components!O116&gt;0,M116-Components!O116,M116*(1+EarningsRate))</f>
        <v>6909.9894206859917</v>
      </c>
      <c r="O116" s="29">
        <f>'FF Deposit'!O116+IF(Components!P116&gt;0,N116-Components!P116,N116*(1+EarningsRate))</f>
        <v>7857.4776073642706</v>
      </c>
      <c r="P116" s="29">
        <f>'FF Deposit'!P116+IF(Components!Q116&gt;0,O116-Components!Q116,O116*(1+EarningsRate))</f>
        <v>8824.863045962793</v>
      </c>
      <c r="Q116" s="29">
        <f>'FF Deposit'!Q116+IF(Components!R116&gt;0,P116-Components!R116,P116*(1+EarningsRate))</f>
        <v>9812.5635787718838</v>
      </c>
      <c r="R116" s="29">
        <f>'FF Deposit'!R116+IF(Components!S116&gt;0,Q116-Components!S116,Q116*(1+EarningsRate))</f>
        <v>10821.005822769966</v>
      </c>
      <c r="S116" s="29">
        <f>'FF Deposit'!S116+IF(Components!T116&gt;0,R116-Components!T116,R116*(1+EarningsRate))</f>
        <v>11850.625353892008</v>
      </c>
      <c r="T116" s="29">
        <f>'FF Deposit'!T116+IF(Components!U116&gt;0,S116-Components!U116,S116*(1+EarningsRate))</f>
        <v>12901.866895167612</v>
      </c>
      <c r="U116" s="29">
        <f>'FF Deposit'!U116+IF(Components!V116&gt;0,T116-Components!V116,T116*(1+EarningsRate))</f>
        <v>13975.184508810004</v>
      </c>
      <c r="V116" s="29">
        <f>'FF Deposit'!V116+IF(Components!W116&gt;0,U116-Components!W116,U116*(1+EarningsRate))</f>
        <v>15071.041792338885</v>
      </c>
      <c r="W116" s="29">
        <f>'FF Deposit'!W116+IF(Components!X116&gt;0,V116-Components!X116,V116*(1+EarningsRate))</f>
        <v>16189.912078821873</v>
      </c>
      <c r="X116" s="29">
        <f>'FF Deposit'!X116+IF(Components!Y116&gt;0,W116-Components!Y116,W116*(1+EarningsRate))</f>
        <v>17332.278641321005</v>
      </c>
      <c r="Y116" s="29">
        <f>'FF Deposit'!Y116+IF(Components!Z116&gt;0,X116-Components!Z116,X116*(1+EarningsRate))</f>
        <v>18498.634901632617</v>
      </c>
      <c r="Z116" s="29">
        <f>'FF Deposit'!Z116+IF(Components!AA116&gt;0,Y116-Components!AA116,Y116*(1+EarningsRate))</f>
        <v>19689.484643410775</v>
      </c>
      <c r="AA116" s="29">
        <f>'FF Deposit'!AA116+IF(Components!AB116&gt;0,Z116-Components!AB116,Z116*(1+EarningsRate))</f>
        <v>1595.0482656137569</v>
      </c>
      <c r="AB116" s="29">
        <f>'FF Deposit'!AB116+IF(Components!AC116&gt;0,AA116-Components!AC116,AA116*(1+EarningsRate))</f>
        <v>3225.1079013946278</v>
      </c>
      <c r="AC116" s="29">
        <f>'FF Deposit'!AC116+IF(Components!AD116&gt;0,AB116-Components!AD116,AB116*(1+EarningsRate))</f>
        <v>4889.3987895268965</v>
      </c>
      <c r="AD116" s="29">
        <f>'FF Deposit'!AD116+IF(Components!AE116&gt;0,AC116-Components!AE116,AC116*(1+EarningsRate))</f>
        <v>6588.6397863099428</v>
      </c>
      <c r="AE116" s="29">
        <f>'FF Deposit'!AE116+IF(Components!AF116&gt;0,AD116-Components!AF116,AD116*(1+EarningsRate))</f>
        <v>8323.5648440254336</v>
      </c>
      <c r="AF116" s="29">
        <f>'FF Deposit'!AF116+IF(Components!AG116&gt;0,AE116-Components!AG116,AE116*(1+EarningsRate))</f>
        <v>10094.923327952949</v>
      </c>
      <c r="AG116" s="29">
        <f>'FF Deposit'!AG116+IF(Components!AH116&gt;0,AF116-Components!AH116,AF116*(1+EarningsRate))</f>
        <v>11903.480340042943</v>
      </c>
      <c r="AH116" s="29">
        <f>'FF Deposit'!AH116+IF(Components!AI116&gt;0,AG116-Components!AI116,AG116*(1+EarningsRate))</f>
        <v>13750.017049386826</v>
      </c>
      <c r="AI116" s="29">
        <f>'FF Deposit'!AI116+IF(Components!AJ116&gt;0,AH116-Components!AJ116,AH116*(1+EarningsRate))</f>
        <v>15635.33102962693</v>
      </c>
      <c r="AJ116" s="29">
        <f>'FF Deposit'!AJ116+IF(Components!AK116&gt;0,AI116-Components!AK116,AI116*(1+EarningsRate))</f>
        <v>17560.236603452075</v>
      </c>
      <c r="AK116" s="29">
        <f>'FF Deposit'!AK116+IF(Components!AL116&gt;0,AJ116-Components!AL116,AJ116*(1+EarningsRate))</f>
        <v>19525.565194327548</v>
      </c>
      <c r="AL116" s="29">
        <f>'FF Deposit'!AL116+IF(Components!AM116&gt;0,AK116-Components!AM116,AK116*(1+EarningsRate))</f>
        <v>21532.165685611406</v>
      </c>
      <c r="AM116" s="29">
        <f>'FF Deposit'!AM116+IF(Components!AN116&gt;0,AL116-Components!AN116,AL116*(1+EarningsRate))</f>
        <v>23580.904787212225</v>
      </c>
      <c r="AN116" s="29">
        <f>'FF Deposit'!AN116+IF(Components!AO116&gt;0,AM116-Components!AO116,AM116*(1+EarningsRate))</f>
        <v>25672.667409946662</v>
      </c>
      <c r="AO116" s="29">
        <f>'FF Deposit'!AO116+IF(Components!AP116&gt;0,AN116-Components!AP116,AN116*(1+EarningsRate))</f>
        <v>27808.357047758524</v>
      </c>
      <c r="AP116" s="53"/>
    </row>
    <row r="117" spans="1:42" s="1" customFormat="1">
      <c r="A117" s="220" t="str">
        <f>Components!B117</f>
        <v>Golf Course</v>
      </c>
      <c r="B117" s="220" t="str">
        <f>Components!C117</f>
        <v>Irrigation Hole 1 &amp; 2</v>
      </c>
      <c r="C117" s="211"/>
      <c r="D117" s="211"/>
      <c r="E117" s="82">
        <f>AnalysisYear-Components!I117-Components!J117</f>
        <v>25</v>
      </c>
      <c r="F117" s="82">
        <f>IF(H117&lt;0,Components!K117-MOD(AnalysisYear-Components!I117-Components!J117,Components!K117),AnalysisYear-Components!I117-Components!J117)</f>
        <v>25</v>
      </c>
      <c r="G117" s="11">
        <f>ROUND(Components!H117*IF(H117&lt;0,((1+InflationRate)^F117),((1+InflationRate)^H117)),0)</f>
        <v>259823</v>
      </c>
      <c r="H117" s="82">
        <f>IF(E117&gt;=0,Components!K117-E117,E117)</f>
        <v>15</v>
      </c>
      <c r="I117" s="82"/>
      <c r="J117" s="211"/>
      <c r="K117" s="29">
        <f>IF($H117&gt;0,FV(EarningsRate,F117,-'FF Deposit'!L117,1),Components!$H117)</f>
        <v>136552.33838603954</v>
      </c>
      <c r="L117" s="29">
        <f>'FF Deposit'!L117+IF(Components!M117&gt;0,K117-Components!M117,K117*(1+EarningsRate))</f>
        <v>143629.03990775277</v>
      </c>
      <c r="M117" s="29">
        <f>'FF Deposit'!M117+IF(Components!N117&gt;0,L117-Components!N117,L117*(1+EarningsRate))</f>
        <v>150854.35216142196</v>
      </c>
      <c r="N117" s="29">
        <f>'FF Deposit'!N117+IF(Components!O117&gt;0,M117-Components!O117,M117*(1+EarningsRate))</f>
        <v>158231.39597241822</v>
      </c>
      <c r="O117" s="29">
        <f>'FF Deposit'!O117+IF(Components!P117&gt;0,N117-Components!P117,N117*(1+EarningsRate))</f>
        <v>165763.35770344539</v>
      </c>
      <c r="P117" s="29">
        <f>'FF Deposit'!P117+IF(Components!Q117&gt;0,O117-Components!Q117,O117*(1+EarningsRate))</f>
        <v>173453.49063082415</v>
      </c>
      <c r="Q117" s="29">
        <f>'FF Deposit'!Q117+IF(Components!R117&gt;0,P117-Components!R117,P117*(1+EarningsRate))</f>
        <v>181305.11634967785</v>
      </c>
      <c r="R117" s="29">
        <f>'FF Deposit'!R117+IF(Components!S117&gt;0,Q117-Components!S117,Q117*(1+EarningsRate))</f>
        <v>189321.62620862748</v>
      </c>
      <c r="S117" s="29">
        <f>'FF Deposit'!S117+IF(Components!T117&gt;0,R117-Components!T117,R117*(1+EarningsRate))</f>
        <v>197506.48277461505</v>
      </c>
      <c r="T117" s="29">
        <f>'FF Deposit'!T117+IF(Components!U117&gt;0,S117-Components!U117,S117*(1+EarningsRate))</f>
        <v>205863.22132848835</v>
      </c>
      <c r="U117" s="29">
        <f>'FF Deposit'!U117+IF(Components!V117&gt;0,T117-Components!V117,T117*(1+EarningsRate))</f>
        <v>214395.451391993</v>
      </c>
      <c r="V117" s="29">
        <f>'FF Deposit'!V117+IF(Components!W117&gt;0,U117-Components!W117,U117*(1+EarningsRate))</f>
        <v>223106.85828683124</v>
      </c>
      <c r="W117" s="29">
        <f>'FF Deposit'!W117+IF(Components!X117&gt;0,V117-Components!X117,V117*(1+EarningsRate))</f>
        <v>232001.20472646109</v>
      </c>
      <c r="X117" s="29">
        <f>'FF Deposit'!X117+IF(Components!Y117&gt;0,W117-Components!Y117,W117*(1+EarningsRate))</f>
        <v>241082.33244132315</v>
      </c>
      <c r="Y117" s="29">
        <f>'FF Deposit'!Y117+IF(Components!Z117&gt;0,X117-Components!Z117,X117*(1+EarningsRate))</f>
        <v>250354.16383819733</v>
      </c>
      <c r="Z117" s="29">
        <f>'FF Deposit'!Z117+IF(Components!AA117&gt;0,Y117-Components!AA117,Y117*(1+EarningsRate))</f>
        <v>259820.70369440585</v>
      </c>
      <c r="AA117" s="29">
        <f>'FF Deposit'!AA117+IF(Components!AB117&gt;0,Z117-Components!AB117,Z117*(1+EarningsRate))</f>
        <v>16662.633350806987</v>
      </c>
      <c r="AB117" s="29">
        <f>'FF Deposit'!AB117+IF(Components!AC117&gt;0,AA117-Components!AC117,AA117*(1+EarningsRate))</f>
        <v>33677.478307575075</v>
      </c>
      <c r="AC117" s="29">
        <f>'FF Deposit'!AC117+IF(Components!AD117&gt;0,AB117-Components!AD117,AB117*(1+EarningsRate))</f>
        <v>51049.635008435289</v>
      </c>
      <c r="AD117" s="29">
        <f>'FF Deposit'!AD117+IF(Components!AE117&gt;0,AC117-Components!AE117,AC117*(1+EarningsRate))</f>
        <v>68786.607000013566</v>
      </c>
      <c r="AE117" s="29">
        <f>'FF Deposit'!AE117+IF(Components!AF117&gt;0,AD117-Components!AF117,AD117*(1+EarningsRate))</f>
        <v>86896.055403414997</v>
      </c>
      <c r="AF117" s="29">
        <f>'FF Deposit'!AF117+IF(Components!AG117&gt;0,AE117-Components!AG117,AE117*(1+EarningsRate))</f>
        <v>105385.80222328784</v>
      </c>
      <c r="AG117" s="29">
        <f>'FF Deposit'!AG117+IF(Components!AH117&gt;0,AF117-Components!AH117,AF117*(1+EarningsRate))</f>
        <v>124263.83372637801</v>
      </c>
      <c r="AH117" s="29">
        <f>'FF Deposit'!AH117+IF(Components!AI117&gt;0,AG117-Components!AI117,AG117*(1+EarningsRate))</f>
        <v>143538.30389103308</v>
      </c>
      <c r="AI117" s="29">
        <f>'FF Deposit'!AI117+IF(Components!AJ117&gt;0,AH117-Components!AJ117,AH117*(1+EarningsRate))</f>
        <v>163217.53792914588</v>
      </c>
      <c r="AJ117" s="29">
        <f>'FF Deposit'!AJ117+IF(Components!AK117&gt;0,AI117-Components!AK117,AI117*(1+EarningsRate))</f>
        <v>183310.03588205905</v>
      </c>
      <c r="AK117" s="29">
        <f>'FF Deposit'!AK117+IF(Components!AL117&gt;0,AJ117-Components!AL117,AJ117*(1+EarningsRate))</f>
        <v>203824.47629198339</v>
      </c>
      <c r="AL117" s="29">
        <f>'FF Deposit'!AL117+IF(Components!AM117&gt;0,AK117-Components!AM117,AK117*(1+EarningsRate))</f>
        <v>224769.71995051616</v>
      </c>
      <c r="AM117" s="29">
        <f>'FF Deposit'!AM117+IF(Components!AN117&gt;0,AL117-Components!AN117,AL117*(1+EarningsRate))</f>
        <v>246154.81372587811</v>
      </c>
      <c r="AN117" s="29">
        <f>'FF Deposit'!AN117+IF(Components!AO117&gt;0,AM117-Components!AO117,AM117*(1+EarningsRate))</f>
        <v>267988.99447052268</v>
      </c>
      <c r="AO117" s="29">
        <f>'FF Deposit'!AO117+IF(Components!AP117&gt;0,AN117-Components!AP117,AN117*(1+EarningsRate))</f>
        <v>290281.69301080477</v>
      </c>
      <c r="AP117" s="53"/>
    </row>
    <row r="118" spans="1:42" s="1" customFormat="1">
      <c r="A118" s="220" t="str">
        <f>Components!B118</f>
        <v>Golf Course</v>
      </c>
      <c r="B118" s="220" t="str">
        <f>Components!C118</f>
        <v>Irrigation Hole 3 &amp; 4</v>
      </c>
      <c r="C118" s="211"/>
      <c r="D118" s="211"/>
      <c r="E118" s="82">
        <f>AnalysisYear-Components!I118-Components!J118</f>
        <v>24</v>
      </c>
      <c r="F118" s="82">
        <f>IF(H118&lt;0,Components!K118-MOD(AnalysisYear-Components!I118-Components!J118,Components!K118),AnalysisYear-Components!I118-Components!J118)</f>
        <v>24</v>
      </c>
      <c r="G118" s="11">
        <f>ROUND(Components!H118*IF(H118&lt;0,((1+InflationRate)^F118),((1+InflationRate)^H118)),0)</f>
        <v>268916</v>
      </c>
      <c r="H118" s="82">
        <f>IF(E118&gt;=0,Components!K118-E118,E118)</f>
        <v>16</v>
      </c>
      <c r="I118" s="82"/>
      <c r="J118" s="211"/>
      <c r="K118" s="29">
        <f>IF($H118&gt;0,FV(EarningsRate,F118,-'FF Deposit'!L118,1),Components!$H118)</f>
        <v>134157.58867316996</v>
      </c>
      <c r="L118" s="29">
        <f>'FF Deposit'!L118+IF(Components!M118&gt;0,K118-Components!M118,K118*(1+EarningsRate))</f>
        <v>141331.30599455268</v>
      </c>
      <c r="M118" s="29">
        <f>'FF Deposit'!M118+IF(Components!N118&gt;0,L118-Components!N118,L118*(1+EarningsRate))</f>
        <v>148655.67137968444</v>
      </c>
      <c r="N118" s="29">
        <f>'FF Deposit'!N118+IF(Components!O118&gt;0,M118-Components!O118,M118*(1+EarningsRate))</f>
        <v>156133.84843790397</v>
      </c>
      <c r="O118" s="29">
        <f>'FF Deposit'!O118+IF(Components!P118&gt;0,N118-Components!P118,N118*(1+EarningsRate))</f>
        <v>163769.06721434611</v>
      </c>
      <c r="P118" s="29">
        <f>'FF Deposit'!P118+IF(Components!Q118&gt;0,O118-Components!Q118,O118*(1+EarningsRate))</f>
        <v>171564.62558509354</v>
      </c>
      <c r="Q118" s="29">
        <f>'FF Deposit'!Q118+IF(Components!R118&gt;0,P118-Components!R118,P118*(1+EarningsRate))</f>
        <v>179523.89068162665</v>
      </c>
      <c r="R118" s="29">
        <f>'FF Deposit'!R118+IF(Components!S118&gt;0,Q118-Components!S118,Q118*(1+EarningsRate))</f>
        <v>187650.30034518696</v>
      </c>
      <c r="S118" s="29">
        <f>'FF Deposit'!S118+IF(Components!T118&gt;0,R118-Components!T118,R118*(1+EarningsRate))</f>
        <v>195947.36461168205</v>
      </c>
      <c r="T118" s="29">
        <f>'FF Deposit'!T118+IF(Components!U118&gt;0,S118-Components!U118,S118*(1+EarningsRate))</f>
        <v>204418.66722777352</v>
      </c>
      <c r="U118" s="29">
        <f>'FF Deposit'!U118+IF(Components!V118&gt;0,T118-Components!V118,T118*(1+EarningsRate))</f>
        <v>213067.86719880291</v>
      </c>
      <c r="V118" s="29">
        <f>'FF Deposit'!V118+IF(Components!W118&gt;0,U118-Components!W118,U118*(1+EarningsRate))</f>
        <v>221898.70036922392</v>
      </c>
      <c r="W118" s="29">
        <f>'FF Deposit'!W118+IF(Components!X118&gt;0,V118-Components!X118,V118*(1+EarningsRate))</f>
        <v>230914.98103622376</v>
      </c>
      <c r="X118" s="29">
        <f>'FF Deposit'!X118+IF(Components!Y118&gt;0,W118-Components!Y118,W118*(1+EarningsRate))</f>
        <v>240120.6035972306</v>
      </c>
      <c r="Y118" s="29">
        <f>'FF Deposit'!Y118+IF(Components!Z118&gt;0,X118-Components!Z118,X118*(1+EarningsRate))</f>
        <v>249519.54423201858</v>
      </c>
      <c r="Z118" s="29">
        <f>'FF Deposit'!Z118+IF(Components!AA118&gt;0,Y118-Components!AA118,Y118*(1+EarningsRate))</f>
        <v>259115.86262013711</v>
      </c>
      <c r="AA118" s="29">
        <f>'FF Deposit'!AA118+IF(Components!AB118&gt;0,Z118-Components!AB118,Z118*(1+EarningsRate))</f>
        <v>268913.70369440608</v>
      </c>
      <c r="AB118" s="29">
        <f>'FF Deposit'!AB118+IF(Components!AC118&gt;0,AA118-Components!AC118,AA118*(1+EarningsRate))</f>
        <v>17245.854256445506</v>
      </c>
      <c r="AC118" s="29">
        <f>'FF Deposit'!AC118+IF(Components!AD118&gt;0,AB118-Components!AD118,AB118*(1+EarningsRate))</f>
        <v>34856.16775787028</v>
      </c>
      <c r="AD118" s="29">
        <f>'FF Deposit'!AD118+IF(Components!AE118&gt;0,AC118-Components!AE118,AC118*(1+EarningsRate))</f>
        <v>52836.297842824977</v>
      </c>
      <c r="AE118" s="29">
        <f>'FF Deposit'!AE118+IF(Components!AF118&gt;0,AD118-Components!AF118,AD118*(1+EarningsRate))</f>
        <v>71194.010659563719</v>
      </c>
      <c r="AF118" s="29">
        <f>'FF Deposit'!AF118+IF(Components!AG118&gt;0,AE118-Components!AG118,AE118*(1+EarningsRate))</f>
        <v>89937.23544545396</v>
      </c>
      <c r="AG118" s="29">
        <f>'FF Deposit'!AG118+IF(Components!AH118&gt;0,AF118-Components!AH118,AF118*(1+EarningsRate))</f>
        <v>109074.06795184792</v>
      </c>
      <c r="AH118" s="29">
        <f>'FF Deposit'!AH118+IF(Components!AI118&gt;0,AG118-Components!AI118,AG118*(1+EarningsRate))</f>
        <v>128612.77394087613</v>
      </c>
      <c r="AI118" s="29">
        <f>'FF Deposit'!AI118+IF(Components!AJ118&gt;0,AH118-Components!AJ118,AH118*(1+EarningsRate))</f>
        <v>148561.79275567393</v>
      </c>
      <c r="AJ118" s="29">
        <f>'FF Deposit'!AJ118+IF(Components!AK118&gt;0,AI118-Components!AK118,AI118*(1+EarningsRate))</f>
        <v>168929.74096558249</v>
      </c>
      <c r="AK118" s="29">
        <f>'FF Deposit'!AK118+IF(Components!AL118&gt;0,AJ118-Components!AL118,AJ118*(1+EarningsRate))</f>
        <v>189725.41608789912</v>
      </c>
      <c r="AL118" s="29">
        <f>'FF Deposit'!AL118+IF(Components!AM118&gt;0,AK118-Components!AM118,AK118*(1+EarningsRate))</f>
        <v>210957.80038778443</v>
      </c>
      <c r="AM118" s="29">
        <f>'FF Deposit'!AM118+IF(Components!AN118&gt;0,AL118-Components!AN118,AL118*(1+EarningsRate))</f>
        <v>232636.06475796731</v>
      </c>
      <c r="AN118" s="29">
        <f>'FF Deposit'!AN118+IF(Components!AO118&gt;0,AM118-Components!AO118,AM118*(1+EarningsRate))</f>
        <v>254769.57267992402</v>
      </c>
      <c r="AO118" s="29">
        <f>'FF Deposit'!AO118+IF(Components!AP118&gt;0,AN118-Components!AP118,AN118*(1+EarningsRate))</f>
        <v>277367.88426824182</v>
      </c>
      <c r="AP118" s="53"/>
    </row>
    <row r="119" spans="1:42" s="1" customFormat="1">
      <c r="A119" s="220" t="str">
        <f>Components!B119</f>
        <v>Golf Course</v>
      </c>
      <c r="B119" s="220" t="str">
        <f>Components!C119</f>
        <v>Irrigation Hole 5 &amp; 6</v>
      </c>
      <c r="C119" s="211"/>
      <c r="D119" s="211"/>
      <c r="E119" s="82">
        <f>AnalysisYear-Components!I119-Components!J119</f>
        <v>23</v>
      </c>
      <c r="F119" s="82">
        <f>IF(H119&lt;0,Components!K119-MOD(AnalysisYear-Components!I119-Components!J119,Components!K119),AnalysisYear-Components!I119-Components!J119)</f>
        <v>23</v>
      </c>
      <c r="G119" s="11">
        <f>ROUND(Components!H119*IF(H119&lt;0,((1+InflationRate)^F119),((1+InflationRate)^H119)),0)</f>
        <v>278329</v>
      </c>
      <c r="H119" s="82">
        <f>IF(E119&gt;=0,Components!K119-E119,E119)</f>
        <v>17</v>
      </c>
      <c r="I119" s="82"/>
      <c r="J119" s="211"/>
      <c r="K119" s="29">
        <f>IF($H119&gt;0,FV(EarningsRate,F119,-'FF Deposit'!L119,1),Components!$H119)</f>
        <v>131581.52145115117</v>
      </c>
      <c r="L119" s="29">
        <f>'FF Deposit'!L119+IF(Components!M119&gt;0,K119-Components!M119,K119*(1+EarningsRate))</f>
        <v>138853.63086733589</v>
      </c>
      <c r="M119" s="29">
        <f>'FF Deposit'!M119+IF(Components!N119&gt;0,L119-Components!N119,L119*(1+EarningsRate))</f>
        <v>146278.45458126048</v>
      </c>
      <c r="N119" s="29">
        <f>'FF Deposit'!N119+IF(Components!O119&gt;0,M119-Components!O119,M119*(1+EarningsRate))</f>
        <v>153859.1995931775</v>
      </c>
      <c r="O119" s="29">
        <f>'FF Deposit'!O119+IF(Components!P119&gt;0,N119-Components!P119,N119*(1+EarningsRate))</f>
        <v>161599.14025034476</v>
      </c>
      <c r="P119" s="29">
        <f>'FF Deposit'!P119+IF(Components!Q119&gt;0,O119-Components!Q119,O119*(1+EarningsRate))</f>
        <v>169501.61966131255</v>
      </c>
      <c r="Q119" s="29">
        <f>'FF Deposit'!Q119+IF(Components!R119&gt;0,P119-Components!R119,P119*(1+EarningsRate))</f>
        <v>177570.05113991065</v>
      </c>
      <c r="R119" s="29">
        <f>'FF Deposit'!R119+IF(Components!S119&gt;0,Q119-Components!S119,Q119*(1+EarningsRate))</f>
        <v>185807.9196795593</v>
      </c>
      <c r="S119" s="29">
        <f>'FF Deposit'!S119+IF(Components!T119&gt;0,R119-Components!T119,R119*(1+EarningsRate))</f>
        <v>194218.78345854059</v>
      </c>
      <c r="T119" s="29">
        <f>'FF Deposit'!T119+IF(Components!U119&gt;0,S119-Components!U119,S119*(1+EarningsRate))</f>
        <v>202806.27537688048</v>
      </c>
      <c r="U119" s="29">
        <f>'FF Deposit'!U119+IF(Components!V119&gt;0,T119-Components!V119,T119*(1+EarningsRate))</f>
        <v>211574.10462550551</v>
      </c>
      <c r="V119" s="29">
        <f>'FF Deposit'!V119+IF(Components!W119&gt;0,U119-Components!W119,U119*(1+EarningsRate))</f>
        <v>220526.05828835166</v>
      </c>
      <c r="W119" s="29">
        <f>'FF Deposit'!W119+IF(Components!X119&gt;0,V119-Components!X119,V119*(1+EarningsRate))</f>
        <v>229666.00297811758</v>
      </c>
      <c r="X119" s="29">
        <f>'FF Deposit'!X119+IF(Components!Y119&gt;0,W119-Components!Y119,W119*(1+EarningsRate))</f>
        <v>238997.88650636858</v>
      </c>
      <c r="Y119" s="29">
        <f>'FF Deposit'!Y119+IF(Components!Z119&gt;0,X119-Components!Z119,X119*(1+EarningsRate))</f>
        <v>248525.73958871287</v>
      </c>
      <c r="Z119" s="29">
        <f>'FF Deposit'!Z119+IF(Components!AA119&gt;0,Y119-Components!AA119,Y119*(1+EarningsRate))</f>
        <v>258253.67758578638</v>
      </c>
      <c r="AA119" s="29">
        <f>'FF Deposit'!AA119+IF(Components!AB119&gt;0,Z119-Components!AB119,Z119*(1+EarningsRate))</f>
        <v>268185.90228079847</v>
      </c>
      <c r="AB119" s="29">
        <f>'FF Deposit'!AB119+IF(Components!AC119&gt;0,AA119-Components!AC119,AA119*(1+EarningsRate))</f>
        <v>278326.70369440579</v>
      </c>
      <c r="AC119" s="29">
        <f>'FF Deposit'!AC119+IF(Components!AD119&gt;0,AB119-Components!AD119,AB119*(1+EarningsRate))</f>
        <v>17849.599817291266</v>
      </c>
      <c r="AD119" s="29">
        <f>'FF Deposit'!AD119+IF(Components!AE119&gt;0,AC119-Components!AE119,AC119*(1+EarningsRate))</f>
        <v>36076.337536339852</v>
      </c>
      <c r="AE119" s="29">
        <f>'FF Deposit'!AE119+IF(Components!AF119&gt;0,AD119-Components!AF119,AD119*(1+EarningsRate))</f>
        <v>54685.836747488458</v>
      </c>
      <c r="AF119" s="29">
        <f>'FF Deposit'!AF119+IF(Components!AG119&gt;0,AE119-Components!AG119,AE119*(1+EarningsRate))</f>
        <v>73686.135442071187</v>
      </c>
      <c r="AG119" s="29">
        <f>'FF Deposit'!AG119+IF(Components!AH119&gt;0,AF119-Components!AH119,AF119*(1+EarningsRate))</f>
        <v>93085.440409240153</v>
      </c>
      <c r="AH119" s="29">
        <f>'FF Deposit'!AH119+IF(Components!AI119&gt;0,AG119-Components!AI119,AG119*(1+EarningsRate))</f>
        <v>112892.13078071966</v>
      </c>
      <c r="AI119" s="29">
        <f>'FF Deposit'!AI119+IF(Components!AJ119&gt;0,AH119-Components!AJ119,AH119*(1+EarningsRate))</f>
        <v>133114.76165000023</v>
      </c>
      <c r="AJ119" s="29">
        <f>'FF Deposit'!AJ119+IF(Components!AK119&gt;0,AI119-Components!AK119,AI119*(1+EarningsRate))</f>
        <v>153762.06776753569</v>
      </c>
      <c r="AK119" s="29">
        <f>'FF Deposit'!AK119+IF(Components!AL119&gt;0,AJ119-Components!AL119,AJ119*(1+EarningsRate))</f>
        <v>174842.96731353941</v>
      </c>
      <c r="AL119" s="29">
        <f>'FF Deposit'!AL119+IF(Components!AM119&gt;0,AK119-Components!AM119,AK119*(1+EarningsRate))</f>
        <v>196366.56575000921</v>
      </c>
      <c r="AM119" s="29">
        <f>'FF Deposit'!AM119+IF(Components!AN119&gt;0,AL119-Components!AN119,AL119*(1+EarningsRate))</f>
        <v>218342.15975364484</v>
      </c>
      <c r="AN119" s="29">
        <f>'FF Deposit'!AN119+IF(Components!AO119&gt;0,AM119-Components!AO119,AM119*(1+EarningsRate))</f>
        <v>240779.24123135686</v>
      </c>
      <c r="AO119" s="29">
        <f>'FF Deposit'!AO119+IF(Components!AP119&gt;0,AN119-Components!AP119,AN119*(1+EarningsRate))</f>
        <v>263687.5014201008</v>
      </c>
      <c r="AP119" s="53"/>
    </row>
    <row r="120" spans="1:42" s="1" customFormat="1">
      <c r="A120" s="220" t="str">
        <f>Components!B120</f>
        <v>Golf Course</v>
      </c>
      <c r="B120" s="220" t="str">
        <f>Components!C120</f>
        <v>Irrigation Hole 7 &amp; 8</v>
      </c>
      <c r="C120" s="211"/>
      <c r="D120" s="211"/>
      <c r="E120" s="82">
        <f>AnalysisYear-Components!I120-Components!J120</f>
        <v>22</v>
      </c>
      <c r="F120" s="82">
        <f>IF(H120&lt;0,Components!K120-MOD(AnalysisYear-Components!I120-Components!J120,Components!K120),AnalysisYear-Components!I120-Components!J120)</f>
        <v>22</v>
      </c>
      <c r="G120" s="11">
        <f>ROUND(Components!H120*IF(H120&lt;0,((1+InflationRate)^F120),((1+InflationRate)^H120)),0)</f>
        <v>288070</v>
      </c>
      <c r="H120" s="82">
        <f>IF(E120&gt;=0,Components!K120-E120,E120)</f>
        <v>18</v>
      </c>
      <c r="I120" s="82"/>
      <c r="J120" s="211"/>
      <c r="K120" s="29">
        <f>IF($H120&gt;0,FV(EarningsRate,F120,-'FF Deposit'!L120,1),Components!$H120)</f>
        <v>128814.87477511038</v>
      </c>
      <c r="L120" s="29">
        <f>'FF Deposit'!L120+IF(Components!M120&gt;0,K120-Components!M120,K120*(1+EarningsRate))</f>
        <v>136186.68767945794</v>
      </c>
      <c r="M120" s="29">
        <f>'FF Deposit'!M120+IF(Components!N120&gt;0,L120-Components!N120,L120*(1+EarningsRate))</f>
        <v>143713.3086547968</v>
      </c>
      <c r="N120" s="29">
        <f>'FF Deposit'!N120+IF(Components!O120&gt;0,M120-Components!O120,M120*(1+EarningsRate))</f>
        <v>151397.98867061778</v>
      </c>
      <c r="O120" s="29">
        <f>'FF Deposit'!O120+IF(Components!P120&gt;0,N120-Components!P120,N120*(1+EarningsRate))</f>
        <v>159244.04696677098</v>
      </c>
      <c r="P120" s="29">
        <f>'FF Deposit'!P120+IF(Components!Q120&gt;0,O120-Components!Q120,O120*(1+EarningsRate))</f>
        <v>167254.87248714341</v>
      </c>
      <c r="Q120" s="29">
        <f>'FF Deposit'!Q120+IF(Components!R120&gt;0,P120-Components!R120,P120*(1+EarningsRate))</f>
        <v>175433.92534344367</v>
      </c>
      <c r="R120" s="29">
        <f>'FF Deposit'!R120+IF(Components!S120&gt;0,Q120-Components!S120,Q120*(1+EarningsRate))</f>
        <v>183784.73830972624</v>
      </c>
      <c r="S120" s="29">
        <f>'FF Deposit'!S120+IF(Components!T120&gt;0,R120-Components!T120,R120*(1+EarningsRate))</f>
        <v>192310.91834830074</v>
      </c>
      <c r="T120" s="29">
        <f>'FF Deposit'!T120+IF(Components!U120&gt;0,S120-Components!U120,S120*(1+EarningsRate))</f>
        <v>201016.14816768529</v>
      </c>
      <c r="U120" s="29">
        <f>'FF Deposit'!U120+IF(Components!V120&gt;0,T120-Components!V120,T120*(1+EarningsRate))</f>
        <v>209904.18781327692</v>
      </c>
      <c r="V120" s="29">
        <f>'FF Deposit'!V120+IF(Components!W120&gt;0,U120-Components!W120,U120*(1+EarningsRate))</f>
        <v>218978.87629142599</v>
      </c>
      <c r="W120" s="29">
        <f>'FF Deposit'!W120+IF(Components!X120&gt;0,V120-Components!X120,V120*(1+EarningsRate))</f>
        <v>228244.13322761617</v>
      </c>
      <c r="X120" s="29">
        <f>'FF Deposit'!X120+IF(Components!Y120&gt;0,W120-Components!Y120,W120*(1+EarningsRate))</f>
        <v>237703.96055946636</v>
      </c>
      <c r="Y120" s="29">
        <f>'FF Deposit'!Y120+IF(Components!Z120&gt;0,X120-Components!Z120,X120*(1+EarningsRate))</f>
        <v>247362.44426528539</v>
      </c>
      <c r="Z120" s="29">
        <f>'FF Deposit'!Z120+IF(Components!AA120&gt;0,Y120-Components!AA120,Y120*(1+EarningsRate))</f>
        <v>257223.75612892662</v>
      </c>
      <c r="AA120" s="29">
        <f>'FF Deposit'!AA120+IF(Components!AB120&gt;0,Z120-Components!AB120,Z120*(1+EarningsRate))</f>
        <v>267292.15554170433</v>
      </c>
      <c r="AB120" s="29">
        <f>'FF Deposit'!AB120+IF(Components!AC120&gt;0,AA120-Components!AC120,AA120*(1+EarningsRate))</f>
        <v>277571.99134215037</v>
      </c>
      <c r="AC120" s="29">
        <f>'FF Deposit'!AC120+IF(Components!AD120&gt;0,AB120-Components!AD120,AB120*(1+EarningsRate))</f>
        <v>288067.70369440579</v>
      </c>
      <c r="AD120" s="29">
        <f>'FF Deposit'!AD120+IF(Components!AE120&gt;0,AC120-Components!AE120,AC120*(1+EarningsRate))</f>
        <v>18474.383149725283</v>
      </c>
      <c r="AE120" s="29">
        <f>'FF Deposit'!AE120+IF(Components!AF120&gt;0,AD120-Components!AF120,AD120*(1+EarningsRate))</f>
        <v>37339.024651189</v>
      </c>
      <c r="AF120" s="29">
        <f>'FF Deposit'!AF120+IF(Components!AG120&gt;0,AE120-Components!AG120,AE120*(1+EarningsRate))</f>
        <v>56599.82362418346</v>
      </c>
      <c r="AG120" s="29">
        <f>'FF Deposit'!AG120+IF(Components!AH120&gt;0,AF120-Components!AH120,AF120*(1+EarningsRate))</f>
        <v>76265.099375610793</v>
      </c>
      <c r="AH120" s="29">
        <f>'FF Deposit'!AH120+IF(Components!AI120&gt;0,AG120-Components!AI120,AG120*(1+EarningsRate))</f>
        <v>96343.345917818107</v>
      </c>
      <c r="AI120" s="29">
        <f>'FF Deposit'!AI120+IF(Components!AJ120&gt;0,AH120-Components!AJ120,AH120*(1+EarningsRate))</f>
        <v>116843.23563741177</v>
      </c>
      <c r="AJ120" s="29">
        <f>'FF Deposit'!AJ120+IF(Components!AK120&gt;0,AI120-Components!AK120,AI120*(1+EarningsRate))</f>
        <v>137773.62304111689</v>
      </c>
      <c r="AK120" s="29">
        <f>'FF Deposit'!AK120+IF(Components!AL120&gt;0,AJ120-Components!AL120,AJ120*(1+EarningsRate))</f>
        <v>159143.54858029983</v>
      </c>
      <c r="AL120" s="29">
        <f>'FF Deposit'!AL120+IF(Components!AM120&gt;0,AK120-Components!AM120,AK120*(1+EarningsRate))</f>
        <v>180962.2425558056</v>
      </c>
      <c r="AM120" s="29">
        <f>'FF Deposit'!AM120+IF(Components!AN120&gt;0,AL120-Components!AN120,AL120*(1+EarningsRate))</f>
        <v>203239.12910479697</v>
      </c>
      <c r="AN120" s="29">
        <f>'FF Deposit'!AN120+IF(Components!AO120&gt;0,AM120-Components!AO120,AM120*(1+EarningsRate))</f>
        <v>225983.83027131716</v>
      </c>
      <c r="AO120" s="29">
        <f>'FF Deposit'!AO120+IF(Components!AP120&gt;0,AN120-Components!AP120,AN120*(1+EarningsRate))</f>
        <v>249206.17016233428</v>
      </c>
      <c r="AP120" s="53"/>
    </row>
    <row r="121" spans="1:42" s="1" customFormat="1">
      <c r="A121" s="220" t="str">
        <f>Components!B121</f>
        <v>Golf Course</v>
      </c>
      <c r="B121" s="220" t="str">
        <f>Components!C121</f>
        <v>Irrigation Hole 9 &amp; North Lake</v>
      </c>
      <c r="C121" s="211"/>
      <c r="D121" s="211"/>
      <c r="E121" s="82">
        <f>AnalysisYear-Components!I121-Components!J121</f>
        <v>21</v>
      </c>
      <c r="F121" s="82">
        <f>IF(H121&lt;0,Components!K121-MOD(AnalysisYear-Components!I121-Components!J121,Components!K121),AnalysisYear-Components!I121-Components!J121)</f>
        <v>21</v>
      </c>
      <c r="G121" s="11">
        <f>ROUND(Components!H121*IF(H121&lt;0,((1+InflationRate)^F121),((1+InflationRate)^H121)),0)</f>
        <v>298152</v>
      </c>
      <c r="H121" s="82">
        <f>IF(E121&gt;=0,Components!K121-E121,E121)</f>
        <v>19</v>
      </c>
      <c r="I121" s="82"/>
      <c r="J121" s="211"/>
      <c r="K121" s="29">
        <f>IF($H121&gt;0,FV(EarningsRate,F121,-'FF Deposit'!L121,1),Components!$H121)</f>
        <v>125850.36404609973</v>
      </c>
      <c r="L121" s="29">
        <f>'FF Deposit'!L121+IF(Components!M121&gt;0,K121-Components!M121,K121*(1+EarningsRate))</f>
        <v>133323.2494538828</v>
      </c>
      <c r="M121" s="29">
        <f>'FF Deposit'!M121+IF(Components!N121&gt;0,L121-Components!N121,L121*(1+EarningsRate))</f>
        <v>140953.06545522934</v>
      </c>
      <c r="N121" s="29">
        <f>'FF Deposit'!N121+IF(Components!O121&gt;0,M121-Components!O121,M121*(1+EarningsRate))</f>
        <v>148743.10759260415</v>
      </c>
      <c r="O121" s="29">
        <f>'FF Deposit'!O121+IF(Components!P121&gt;0,N121-Components!P121,N121*(1+EarningsRate))</f>
        <v>156696.74061486384</v>
      </c>
      <c r="P121" s="29">
        <f>'FF Deposit'!P121+IF(Components!Q121&gt;0,O121-Components!Q121,O121*(1+EarningsRate))</f>
        <v>164817.39993059097</v>
      </c>
      <c r="Q121" s="29">
        <f>'FF Deposit'!Q121+IF(Components!R121&gt;0,P121-Components!R121,P121*(1+EarningsRate))</f>
        <v>173108.59309194837</v>
      </c>
      <c r="R121" s="29">
        <f>'FF Deposit'!R121+IF(Components!S121&gt;0,Q121-Components!S121,Q121*(1+EarningsRate))</f>
        <v>181573.90130969428</v>
      </c>
      <c r="S121" s="29">
        <f>'FF Deposit'!S121+IF(Components!T121&gt;0,R121-Components!T121,R121*(1+EarningsRate))</f>
        <v>190216.98100001286</v>
      </c>
      <c r="T121" s="29">
        <f>'FF Deposit'!T121+IF(Components!U121&gt;0,S121-Components!U121,S121*(1+EarningsRate))</f>
        <v>199041.56536382812</v>
      </c>
      <c r="U121" s="29">
        <f>'FF Deposit'!U121+IF(Components!V121&gt;0,T121-Components!V121,T121*(1+EarningsRate))</f>
        <v>208051.46599928351</v>
      </c>
      <c r="V121" s="29">
        <f>'FF Deposit'!V121+IF(Components!W121&gt;0,U121-Components!W121,U121*(1+EarningsRate))</f>
        <v>217250.57454808344</v>
      </c>
      <c r="W121" s="29">
        <f>'FF Deposit'!W121+IF(Components!X121&gt;0,V121-Components!X121,V121*(1+EarningsRate))</f>
        <v>226642.86437640819</v>
      </c>
      <c r="X121" s="29">
        <f>'FF Deposit'!X121+IF(Components!Y121&gt;0,W121-Components!Y121,W121*(1+EarningsRate))</f>
        <v>236232.39229112776</v>
      </c>
      <c r="Y121" s="29">
        <f>'FF Deposit'!Y121+IF(Components!Z121&gt;0,X121-Components!Z121,X121*(1+EarningsRate))</f>
        <v>246023.30029205643</v>
      </c>
      <c r="Z121" s="29">
        <f>'FF Deposit'!Z121+IF(Components!AA121&gt;0,Y121-Components!AA121,Y121*(1+EarningsRate))</f>
        <v>256019.81736100459</v>
      </c>
      <c r="AA121" s="29">
        <f>'FF Deposit'!AA121+IF(Components!AB121&gt;0,Z121-Components!AB121,Z121*(1+EarningsRate))</f>
        <v>266226.26128840068</v>
      </c>
      <c r="AB121" s="29">
        <f>'FF Deposit'!AB121+IF(Components!AC121&gt;0,AA121-Components!AC121,AA121*(1+EarningsRate))</f>
        <v>276647.04053827206</v>
      </c>
      <c r="AC121" s="29">
        <f>'FF Deposit'!AC121+IF(Components!AD121&gt;0,AB121-Components!AD121,AB121*(1+EarningsRate))</f>
        <v>287286.65615239076</v>
      </c>
      <c r="AD121" s="29">
        <f>'FF Deposit'!AD121+IF(Components!AE121&gt;0,AC121-Components!AE121,AC121*(1+EarningsRate))</f>
        <v>298149.70369440597</v>
      </c>
      <c r="AE121" s="29">
        <f>'FF Deposit'!AE121+IF(Components!AF121&gt;0,AD121-Components!AF121,AD121*(1+EarningsRate))</f>
        <v>19121.038067865255</v>
      </c>
      <c r="AF121" s="29">
        <f>'FF Deposit'!AF121+IF(Components!AG121&gt;0,AE121-Components!AG121,AE121*(1+EarningsRate))</f>
        <v>38645.914240749713</v>
      </c>
      <c r="AG121" s="29">
        <f>'FF Deposit'!AG121+IF(Components!AH121&gt;0,AF121-Components!AH121,AF121*(1+EarningsRate))</f>
        <v>58580.81281326474</v>
      </c>
      <c r="AH121" s="29">
        <f>'FF Deposit'!AH121+IF(Components!AI121&gt;0,AG121-Components!AI121,AG121*(1+EarningsRate))</f>
        <v>78934.344255802585</v>
      </c>
      <c r="AI121" s="29">
        <f>'FF Deposit'!AI121+IF(Components!AJ121&gt;0,AH121-Components!AJ121,AH121*(1+EarningsRate))</f>
        <v>99715.29985863372</v>
      </c>
      <c r="AJ121" s="29">
        <f>'FF Deposit'!AJ121+IF(Components!AK121&gt;0,AI121-Components!AK121,AI121*(1+EarningsRate))</f>
        <v>120932.65552912431</v>
      </c>
      <c r="AK121" s="29">
        <f>'FF Deposit'!AK121+IF(Components!AL121&gt;0,AJ121-Components!AL121,AJ121*(1+EarningsRate))</f>
        <v>142595.57566869521</v>
      </c>
      <c r="AL121" s="29">
        <f>'FF Deposit'!AL121+IF(Components!AM121&gt;0,AK121-Components!AM121,AK121*(1+EarningsRate))</f>
        <v>164713.41713119709</v>
      </c>
      <c r="AM121" s="29">
        <f>'FF Deposit'!AM121+IF(Components!AN121&gt;0,AL121-Components!AN121,AL121*(1+EarningsRate))</f>
        <v>187295.73326441148</v>
      </c>
      <c r="AN121" s="29">
        <f>'FF Deposit'!AN121+IF(Components!AO121&gt;0,AM121-Components!AO121,AM121*(1+EarningsRate))</f>
        <v>210352.27803642338</v>
      </c>
      <c r="AO121" s="29">
        <f>'FF Deposit'!AO121+IF(Components!AP121&gt;0,AN121-Components!AP121,AN121*(1+EarningsRate))</f>
        <v>233893.01024864754</v>
      </c>
      <c r="AP121" s="53"/>
    </row>
    <row r="122" spans="1:42" s="1" customFormat="1">
      <c r="A122" s="220" t="str">
        <f>Components!B122</f>
        <v>Golf Course</v>
      </c>
      <c r="B122" s="220" t="str">
        <f>Components!C122</f>
        <v>Irrigation Putting Green</v>
      </c>
      <c r="C122" s="211"/>
      <c r="D122" s="211"/>
      <c r="E122" s="82">
        <f>AnalysisYear-Components!I122-Components!J122</f>
        <v>6</v>
      </c>
      <c r="F122" s="82">
        <f>IF(H122&lt;0,Components!K122-MOD(AnalysisYear-Components!I122-Components!J122,Components!K122),AnalysisYear-Components!I122-Components!J122)</f>
        <v>6</v>
      </c>
      <c r="G122" s="11">
        <f>ROUND(Components!H122*IF(H122&lt;0,((1+InflationRate)^F122),((1+InflationRate)^H122)),0)</f>
        <v>22153</v>
      </c>
      <c r="H122" s="82">
        <f>IF(E122&gt;=0,Components!K122-E122,E122)</f>
        <v>24</v>
      </c>
      <c r="I122" s="82"/>
      <c r="J122" s="211"/>
      <c r="K122" s="29">
        <f>IF($H122&gt;0,FV(EarningsRate,F122,-'FF Deposit'!L122,1),Components!$H122)</f>
        <v>3398.4329540253807</v>
      </c>
      <c r="L122" s="29">
        <f>'FF Deposit'!L122+IF(Components!M122&gt;0,K122-Components!M122,K122*(1+EarningsRate))</f>
        <v>4007.36918169207</v>
      </c>
      <c r="M122" s="29">
        <f>'FF Deposit'!M122+IF(Components!N122&gt;0,L122-Components!N122,L122*(1+EarningsRate))</f>
        <v>4629.0930701397592</v>
      </c>
      <c r="N122" s="29">
        <f>'FF Deposit'!N122+IF(Components!O122&gt;0,M122-Components!O122,M122*(1+EarningsRate))</f>
        <v>5263.8731602448506</v>
      </c>
      <c r="O122" s="29">
        <f>'FF Deposit'!O122+IF(Components!P122&gt;0,N122-Components!P122,N122*(1+EarningsRate))</f>
        <v>5911.9836322421488</v>
      </c>
      <c r="P122" s="29">
        <f>'FF Deposit'!P122+IF(Components!Q122&gt;0,O122-Components!Q122,O122*(1+EarningsRate))</f>
        <v>6573.7044241513904</v>
      </c>
      <c r="Q122" s="29">
        <f>'FF Deposit'!Q122+IF(Components!R122&gt;0,P122-Components!R122,P122*(1+EarningsRate))</f>
        <v>7249.3213526907257</v>
      </c>
      <c r="R122" s="29">
        <f>'FF Deposit'!R122+IF(Components!S122&gt;0,Q122-Components!S122,Q122*(1+EarningsRate))</f>
        <v>7939.1262367293866</v>
      </c>
      <c r="S122" s="29">
        <f>'FF Deposit'!S122+IF(Components!T122&gt;0,R122-Components!T122,R122*(1+EarningsRate))</f>
        <v>8643.4170233328587</v>
      </c>
      <c r="T122" s="29">
        <f>'FF Deposit'!T122+IF(Components!U122&gt;0,S122-Components!U122,S122*(1+EarningsRate))</f>
        <v>9362.4979164550041</v>
      </c>
      <c r="U122" s="29">
        <f>'FF Deposit'!U122+IF(Components!V122&gt;0,T122-Components!V122,T122*(1+EarningsRate))</f>
        <v>10096.679508332714</v>
      </c>
      <c r="V122" s="29">
        <f>'FF Deposit'!V122+IF(Components!W122&gt;0,U122-Components!W122,U122*(1+EarningsRate))</f>
        <v>10846.278913639857</v>
      </c>
      <c r="W122" s="29">
        <f>'FF Deposit'!W122+IF(Components!X122&gt;0,V122-Components!X122,V122*(1+EarningsRate))</f>
        <v>11611.619906458449</v>
      </c>
      <c r="X122" s="29">
        <f>'FF Deposit'!X122+IF(Components!Y122&gt;0,W122-Components!Y122,W122*(1+EarningsRate))</f>
        <v>12393.033060126232</v>
      </c>
      <c r="Y122" s="29">
        <f>'FF Deposit'!Y122+IF(Components!Z122&gt;0,X122-Components!Z122,X122*(1+EarningsRate))</f>
        <v>13190.855890021039</v>
      </c>
      <c r="Z122" s="29">
        <f>'FF Deposit'!Z122+IF(Components!AA122&gt;0,Y122-Components!AA122,Y122*(1+EarningsRate))</f>
        <v>14005.432999343637</v>
      </c>
      <c r="AA122" s="29">
        <f>'FF Deposit'!AA122+IF(Components!AB122&gt;0,Z122-Components!AB122,Z122*(1+EarningsRate))</f>
        <v>14837.116227962009</v>
      </c>
      <c r="AB122" s="29">
        <f>'FF Deposit'!AB122+IF(Components!AC122&gt;0,AA122-Components!AC122,AA122*(1+EarningsRate))</f>
        <v>15686.264804381366</v>
      </c>
      <c r="AC122" s="29">
        <f>'FF Deposit'!AC122+IF(Components!AD122&gt;0,AB122-Components!AD122,AB122*(1+EarningsRate))</f>
        <v>16553.24550090553</v>
      </c>
      <c r="AD122" s="29">
        <f>'FF Deposit'!AD122+IF(Components!AE122&gt;0,AC122-Components!AE122,AC122*(1+EarningsRate))</f>
        <v>17438.432792056701</v>
      </c>
      <c r="AE122" s="29">
        <f>'FF Deposit'!AE122+IF(Components!AF122&gt;0,AD122-Components!AF122,AD122*(1+EarningsRate))</f>
        <v>18342.209016322049</v>
      </c>
      <c r="AF122" s="29">
        <f>'FF Deposit'!AF122+IF(Components!AG122&gt;0,AE122-Components!AG122,AE122*(1+EarningsRate))</f>
        <v>19264.964541296969</v>
      </c>
      <c r="AG122" s="29">
        <f>'FF Deposit'!AG122+IF(Components!AH122&gt;0,AF122-Components!AH122,AF122*(1+EarningsRate))</f>
        <v>20207.097932296361</v>
      </c>
      <c r="AH122" s="29">
        <f>'FF Deposit'!AH122+IF(Components!AI122&gt;0,AG122-Components!AI122,AG122*(1+EarningsRate))</f>
        <v>21169.016124506743</v>
      </c>
      <c r="AI122" s="29">
        <f>'FF Deposit'!AI122+IF(Components!AJ122&gt;0,AH122-Components!AJ122,AH122*(1+EarningsRate))</f>
        <v>22151.134598753539</v>
      </c>
      <c r="AJ122" s="29">
        <f>'FF Deposit'!AJ122+IF(Components!AK122&gt;0,AI122-Components!AK122,AI122*(1+EarningsRate))</f>
        <v>1506.9802644883089</v>
      </c>
      <c r="AK122" s="29">
        <f>'FF Deposit'!AK122+IF(Components!AL122&gt;0,AJ122-Components!AL122,AJ122*(1+EarningsRate))</f>
        <v>3047.4725157773337</v>
      </c>
      <c r="AL122" s="29">
        <f>'FF Deposit'!AL122+IF(Components!AM122&gt;0,AK122-Components!AM122,AK122*(1+EarningsRate))</f>
        <v>4620.3151043434282</v>
      </c>
      <c r="AM122" s="29">
        <f>'FF Deposit'!AM122+IF(Components!AN122&gt;0,AL122-Components!AN122,AL122*(1+EarningsRate))</f>
        <v>6226.1873872694105</v>
      </c>
      <c r="AN122" s="29">
        <f>'FF Deposit'!AN122+IF(Components!AO122&gt;0,AM122-Components!AO122,AM122*(1+EarningsRate))</f>
        <v>7865.782988136838</v>
      </c>
      <c r="AO122" s="29">
        <f>'FF Deposit'!AO122+IF(Components!AP122&gt;0,AN122-Components!AP122,AN122*(1+EarningsRate))</f>
        <v>9539.8100966224811</v>
      </c>
      <c r="AP122" s="53"/>
    </row>
    <row r="123" spans="1:42" s="1" customFormat="1">
      <c r="A123" s="220" t="str">
        <f>Components!B123</f>
        <v>Golf Course</v>
      </c>
      <c r="B123" s="220" t="str">
        <f>Components!C123</f>
        <v>Lake Aerator Large</v>
      </c>
      <c r="C123" s="211"/>
      <c r="D123" s="211"/>
      <c r="E123" s="82">
        <f>AnalysisYear-Components!I123-Components!J123</f>
        <v>4</v>
      </c>
      <c r="F123" s="82">
        <f>IF(H123&lt;0,Components!K123-MOD(AnalysisYear-Components!I123-Components!J123,Components!K123),AnalysisYear-Components!I123-Components!J123)</f>
        <v>4</v>
      </c>
      <c r="G123" s="11">
        <f>ROUND(Components!H123*IF(H123&lt;0,((1+InflationRate)^F123),((1+InflationRate)^H123)),0)</f>
        <v>8370</v>
      </c>
      <c r="H123" s="82">
        <f>IF(E123&gt;=0,Components!K123-E123,E123)</f>
        <v>6</v>
      </c>
      <c r="I123" s="82"/>
      <c r="J123" s="211"/>
      <c r="K123" s="29">
        <f>IF($H123&gt;0,FV(EarningsRate,F123,-'FF Deposit'!L123,1),Components!$H123)</f>
        <v>3139.7978760414935</v>
      </c>
      <c r="L123" s="29">
        <f>'FF Deposit'!L123+IF(Components!M123&gt;0,K123-Components!M123,K123*(1+EarningsRate))</f>
        <v>3966.6486237795571</v>
      </c>
      <c r="M123" s="29">
        <f>'FF Deposit'!M123+IF(Components!N123&gt;0,L123-Components!N123,L123*(1+EarningsRate))</f>
        <v>4810.86323722012</v>
      </c>
      <c r="N123" s="29">
        <f>'FF Deposit'!N123+IF(Components!O123&gt;0,M123-Components!O123,M123*(1+EarningsRate))</f>
        <v>5672.8063575429342</v>
      </c>
      <c r="O123" s="29">
        <f>'FF Deposit'!O123+IF(Components!P123&gt;0,N123-Components!P123,N123*(1+EarningsRate))</f>
        <v>6552.8502833925277</v>
      </c>
      <c r="P123" s="29">
        <f>'FF Deposit'!P123+IF(Components!Q123&gt;0,O123-Components!Q123,O123*(1+EarningsRate))</f>
        <v>7451.3751316849621</v>
      </c>
      <c r="Q123" s="29">
        <f>'FF Deposit'!Q123+IF(Components!R123&gt;0,P123-Components!R123,P123*(1+EarningsRate))</f>
        <v>8368.7690017915393</v>
      </c>
      <c r="R123" s="29">
        <f>'FF Deposit'!R123+IF(Components!S123&gt;0,Q123-Components!S123,Q123*(1+EarningsRate))</f>
        <v>1072.1147469260554</v>
      </c>
      <c r="S123" s="29">
        <f>'FF Deposit'!S123+IF(Components!T123&gt;0,R123-Components!T123,R123*(1+EarningsRate))</f>
        <v>2167.974901746019</v>
      </c>
      <c r="T123" s="29">
        <f>'FF Deposit'!T123+IF(Components!U123&gt;0,S123-Components!U123,S123*(1+EarningsRate))</f>
        <v>3286.8481198172012</v>
      </c>
      <c r="U123" s="29">
        <f>'FF Deposit'!U123+IF(Components!V123&gt;0,T123-Components!V123,T123*(1+EarningsRate))</f>
        <v>4429.2176754678785</v>
      </c>
      <c r="V123" s="29">
        <f>'FF Deposit'!V123+IF(Components!W123&gt;0,U123-Components!W123,U123*(1+EarningsRate))</f>
        <v>5595.5769917872203</v>
      </c>
      <c r="W123" s="29">
        <f>'FF Deposit'!W123+IF(Components!X123&gt;0,V123-Components!X123,V123*(1+EarningsRate))</f>
        <v>6786.4298537492668</v>
      </c>
      <c r="X123" s="29">
        <f>'FF Deposit'!X123+IF(Components!Y123&gt;0,W123-Components!Y123,W123*(1+EarningsRate))</f>
        <v>8002.2906258125167</v>
      </c>
      <c r="Y123" s="29">
        <f>'FF Deposit'!Y123+IF(Components!Z123&gt;0,X123-Components!Z123,X123*(1+EarningsRate))</f>
        <v>9243.6844740890956</v>
      </c>
      <c r="Z123" s="29">
        <f>'FF Deposit'!Z123+IF(Components!AA123&gt;0,Y123-Components!AA123,Y123*(1+EarningsRate))</f>
        <v>10511.147593179483</v>
      </c>
      <c r="AA123" s="29">
        <f>'FF Deposit'!AA123+IF(Components!AB123&gt;0,Z123-Components!AB123,Z123*(1+EarningsRate))</f>
        <v>11805.227437770767</v>
      </c>
      <c r="AB123" s="29">
        <f>'FF Deposit'!AB123+IF(Components!AC123&gt;0,AA123-Components!AC123,AA123*(1+EarningsRate))</f>
        <v>1513.1963585662388</v>
      </c>
      <c r="AC123" s="29">
        <f>'FF Deposit'!AC123+IF(Components!AD123&gt;0,AB123-Components!AD123,AB123*(1+EarningsRate))</f>
        <v>3058.942402891601</v>
      </c>
      <c r="AD123" s="29">
        <f>'FF Deposit'!AD123+IF(Components!AE123&gt;0,AC123-Components!AE123,AC123*(1+EarningsRate))</f>
        <v>4637.1491141477964</v>
      </c>
      <c r="AE123" s="29">
        <f>'FF Deposit'!AE123+IF(Components!AF123&gt;0,AD123-Components!AF123,AD123*(1+EarningsRate))</f>
        <v>6248.4981663403714</v>
      </c>
      <c r="AF123" s="29">
        <f>'FF Deposit'!AF123+IF(Components!AG123&gt;0,AE123-Components!AG123,AE123*(1+EarningsRate))</f>
        <v>7893.6855486289905</v>
      </c>
      <c r="AG123" s="29">
        <f>'FF Deposit'!AG123+IF(Components!AH123&gt;0,AF123-Components!AH123,AF123*(1+EarningsRate))</f>
        <v>9573.421865945671</v>
      </c>
      <c r="AH123" s="29">
        <f>'FF Deposit'!AH123+IF(Components!AI123&gt;0,AG123-Components!AI123,AG123*(1+EarningsRate))</f>
        <v>11288.432645926001</v>
      </c>
      <c r="AI123" s="29">
        <f>'FF Deposit'!AI123+IF(Components!AJ123&gt;0,AH123-Components!AJ123,AH123*(1+EarningsRate))</f>
        <v>13039.458652285917</v>
      </c>
      <c r="AJ123" s="29">
        <f>'FF Deposit'!AJ123+IF(Components!AK123&gt;0,AI123-Components!AK123,AI123*(1+EarningsRate))</f>
        <v>14827.256204779391</v>
      </c>
      <c r="AK123" s="29">
        <f>'FF Deposit'!AK123+IF(Components!AL123&gt;0,AJ123-Components!AL123,AJ123*(1+EarningsRate))</f>
        <v>16652.597505875226</v>
      </c>
      <c r="AL123" s="29">
        <f>'FF Deposit'!AL123+IF(Components!AM123&gt;0,AK123-Components!AM123,AK123*(1+EarningsRate))</f>
        <v>2134.2605930281811</v>
      </c>
      <c r="AM123" s="29">
        <f>'FF Deposit'!AM123+IF(Components!AN123&gt;0,AL123-Components!AN123,AL123*(1+EarningsRate))</f>
        <v>4314.7431526347273</v>
      </c>
      <c r="AN123" s="29">
        <f>'FF Deposit'!AN123+IF(Components!AO123&gt;0,AM123-Components!AO123,AM123*(1+EarningsRate))</f>
        <v>6541.0158459930117</v>
      </c>
      <c r="AO123" s="29">
        <f>'FF Deposit'!AO123+IF(Components!AP123&gt;0,AN123-Components!AP123,AN123*(1+EarningsRate))</f>
        <v>8814.040265911819</v>
      </c>
      <c r="AP123" s="53"/>
    </row>
    <row r="124" spans="1:42" s="1" customFormat="1">
      <c r="A124" s="220" t="str">
        <f>Components!B124</f>
        <v>Golf Course</v>
      </c>
      <c r="B124" s="220" t="str">
        <f>Components!C124</f>
        <v>Lake Aerator North</v>
      </c>
      <c r="C124" s="211"/>
      <c r="D124" s="211"/>
      <c r="E124" s="82">
        <f>AnalysisYear-Components!I124-Components!J124</f>
        <v>9</v>
      </c>
      <c r="F124" s="82">
        <f>IF(H124&lt;0,Components!K124-MOD(AnalysisYear-Components!I124-Components!J124,Components!K124),AnalysisYear-Components!I124-Components!J124)</f>
        <v>9</v>
      </c>
      <c r="G124" s="11">
        <f>ROUND(Components!H124*IF(H124&lt;0,((1+InflationRate)^F124),((1+InflationRate)^H124)),0)</f>
        <v>7047</v>
      </c>
      <c r="H124" s="82">
        <f>IF(E124&gt;=0,Components!K124-E124,E124)</f>
        <v>1</v>
      </c>
      <c r="I124" s="82"/>
      <c r="J124" s="211"/>
      <c r="K124" s="29">
        <f>IF($H124&gt;0,FV(EarningsRate,F124,-'FF Deposit'!L124,1),Components!$H124)</f>
        <v>6273.3865519393403</v>
      </c>
      <c r="L124" s="29">
        <f>'FF Deposit'!L124+IF(Components!M124&gt;0,K124-Components!M124,K124*(1+EarningsRate))</f>
        <v>7045.7690017915211</v>
      </c>
      <c r="M124" s="29">
        <f>'FF Deposit'!M124+IF(Components!N124&gt;0,L124-Components!N124,L124*(1+EarningsRate))</f>
        <v>902.45687108219443</v>
      </c>
      <c r="N124" s="29">
        <f>'FF Deposit'!N124+IF(Components!O124&gt;0,M124-Components!O124,M124*(1+EarningsRate))</f>
        <v>1825.0963346655938</v>
      </c>
      <c r="O124" s="29">
        <f>'FF Deposit'!O124+IF(Components!P124&gt;0,N124-Components!P124,N124*(1+EarningsRate))</f>
        <v>2767.1112269842442</v>
      </c>
      <c r="P124" s="29">
        <f>'FF Deposit'!P124+IF(Components!Q124&gt;0,O124-Components!Q124,O124*(1+EarningsRate))</f>
        <v>3728.9084320415864</v>
      </c>
      <c r="Q124" s="29">
        <f>'FF Deposit'!Q124+IF(Components!R124&gt;0,P124-Components!R124,P124*(1+EarningsRate))</f>
        <v>4710.9033784051326</v>
      </c>
      <c r="R124" s="29">
        <f>'FF Deposit'!R124+IF(Components!S124&gt;0,Q124-Components!S124,Q124*(1+EarningsRate))</f>
        <v>5713.520218642313</v>
      </c>
      <c r="S124" s="29">
        <f>'FF Deposit'!S124+IF(Components!T124&gt;0,R124-Components!T124,R124*(1+EarningsRate))</f>
        <v>6737.1920125244742</v>
      </c>
      <c r="T124" s="29">
        <f>'FF Deposit'!T124+IF(Components!U124&gt;0,S124-Components!U124,S124*(1+EarningsRate))</f>
        <v>7782.3609140781609</v>
      </c>
      <c r="U124" s="29">
        <f>'FF Deposit'!U124+IF(Components!V124&gt;0,T124-Components!V124,T124*(1+EarningsRate))</f>
        <v>8849.4783625644759</v>
      </c>
      <c r="V124" s="29">
        <f>'FF Deposit'!V124+IF(Components!W124&gt;0,U124-Components!W124,U124*(1+EarningsRate))</f>
        <v>9939.005277469003</v>
      </c>
      <c r="W124" s="29">
        <f>'FF Deposit'!W124+IF(Components!X124&gt;0,V124-Components!X124,V124*(1+EarningsRate))</f>
        <v>1273.6834980947006</v>
      </c>
      <c r="X124" s="29">
        <f>'FF Deposit'!X124+IF(Components!Y124&gt;0,W124-Components!Y124,W124*(1+EarningsRate))</f>
        <v>2575.1090721803866</v>
      </c>
      <c r="Y124" s="29">
        <f>'FF Deposit'!Y124+IF(Components!Z124&gt;0,X124-Components!Z124,X124*(1+EarningsRate))</f>
        <v>3903.864583321872</v>
      </c>
      <c r="Z124" s="29">
        <f>'FF Deposit'!Z124+IF(Components!AA124&gt;0,Y124-Components!AA124,Y124*(1+EarningsRate))</f>
        <v>5260.5239601973281</v>
      </c>
      <c r="AA124" s="29">
        <f>'FF Deposit'!AA124+IF(Components!AB124&gt;0,Z124-Components!AB124,Z124*(1+EarningsRate))</f>
        <v>6645.6731839871691</v>
      </c>
      <c r="AB124" s="29">
        <f>'FF Deposit'!AB124+IF(Components!AC124&gt;0,AA124-Components!AC124,AA124*(1+EarningsRate))</f>
        <v>8059.9105414765963</v>
      </c>
      <c r="AC124" s="29">
        <f>'FF Deposit'!AC124+IF(Components!AD124&gt;0,AB124-Components!AD124,AB124*(1+EarningsRate))</f>
        <v>9503.8468834733012</v>
      </c>
      <c r="AD124" s="29">
        <f>'FF Deposit'!AD124+IF(Components!AE124&gt;0,AC124-Components!AE124,AC124*(1+EarningsRate))</f>
        <v>10978.105888651937</v>
      </c>
      <c r="AE124" s="29">
        <f>'FF Deposit'!AE124+IF(Components!AF124&gt;0,AD124-Components!AF124,AD124*(1+EarningsRate))</f>
        <v>12483.324332939324</v>
      </c>
      <c r="AF124" s="29">
        <f>'FF Deposit'!AF124+IF(Components!AG124&gt;0,AE124-Components!AG124,AE124*(1+EarningsRate))</f>
        <v>14020.152364556747</v>
      </c>
      <c r="AG124" s="29">
        <f>'FF Deposit'!AG124+IF(Components!AH124&gt;0,AF124-Components!AH124,AF124*(1+EarningsRate))</f>
        <v>1796.2950214595166</v>
      </c>
      <c r="AH124" s="29">
        <f>'FF Deposit'!AH124+IF(Components!AI124&gt;0,AG124-Components!AI124,AG124*(1+EarningsRate))</f>
        <v>3632.159873812936</v>
      </c>
      <c r="AI124" s="29">
        <f>'FF Deposit'!AI124+IF(Components!AJ124&gt;0,AH124-Components!AJ124,AH124*(1+EarningsRate))</f>
        <v>5506.5778880657772</v>
      </c>
      <c r="AJ124" s="29">
        <f>'FF Deposit'!AJ124+IF(Components!AK124&gt;0,AI124-Components!AK124,AI124*(1+EarningsRate))</f>
        <v>7420.3586806179283</v>
      </c>
      <c r="AK124" s="29">
        <f>'FF Deposit'!AK124+IF(Components!AL124&gt;0,AJ124-Components!AL124,AJ124*(1+EarningsRate))</f>
        <v>9374.3288698136748</v>
      </c>
      <c r="AL124" s="29">
        <f>'FF Deposit'!AL124+IF(Components!AM124&gt;0,AK124-Components!AM124,AK124*(1+EarningsRate))</f>
        <v>11369.332432982532</v>
      </c>
      <c r="AM124" s="29">
        <f>'FF Deposit'!AM124+IF(Components!AN124&gt;0,AL124-Components!AN124,AL124*(1+EarningsRate))</f>
        <v>13406.231070977934</v>
      </c>
      <c r="AN124" s="29">
        <f>'FF Deposit'!AN124+IF(Components!AO124&gt;0,AM124-Components!AO124,AM124*(1+EarningsRate))</f>
        <v>15485.90458037124</v>
      </c>
      <c r="AO124" s="29">
        <f>'FF Deposit'!AO124+IF(Components!AP124&gt;0,AN124-Components!AP124,AN124*(1+EarningsRate))</f>
        <v>17609.251233461804</v>
      </c>
      <c r="AP124" s="53"/>
    </row>
    <row r="125" spans="1:42" s="1" customFormat="1">
      <c r="A125" s="220" t="str">
        <f>Components!B125</f>
        <v>Golf Course</v>
      </c>
      <c r="B125" s="220" t="str">
        <f>Components!C125</f>
        <v>Lake Fountain Large</v>
      </c>
      <c r="C125" s="211"/>
      <c r="D125" s="211"/>
      <c r="E125" s="82">
        <f>AnalysisYear-Components!I125-Components!J125</f>
        <v>4</v>
      </c>
      <c r="F125" s="82">
        <f>IF(H125&lt;0,Components!K125-MOD(AnalysisYear-Components!I125-Components!J125,Components!K125),AnalysisYear-Components!I125-Components!J125)</f>
        <v>4</v>
      </c>
      <c r="G125" s="11">
        <f>ROUND(Components!H125*IF(H125&lt;0,((1+InflationRate)^F125),((1+InflationRate)^H125)),0)</f>
        <v>13031</v>
      </c>
      <c r="H125" s="82">
        <f>IF(E125&gt;=0,Components!K125-E125,E125)</f>
        <v>6</v>
      </c>
      <c r="I125" s="82"/>
      <c r="J125" s="211"/>
      <c r="K125" s="29">
        <f>IF($H125&gt;0,FV(EarningsRate,F125,-'FF Deposit'!L125,1),Components!$H125)</f>
        <v>4888.8615475831866</v>
      </c>
      <c r="L125" s="29">
        <f>'FF Deposit'!L125+IF(Components!M125&gt;0,K125-Components!M125,K125*(1+EarningsRate))</f>
        <v>6176.173191480053</v>
      </c>
      <c r="M125" s="29">
        <f>'FF Deposit'!M125+IF(Components!N125&gt;0,L125-Components!N125,L125*(1+EarningsRate))</f>
        <v>7490.5183798987546</v>
      </c>
      <c r="N125" s="29">
        <f>'FF Deposit'!N125+IF(Components!O125&gt;0,M125-Components!O125,M125*(1+EarningsRate))</f>
        <v>8832.4648172742473</v>
      </c>
      <c r="O125" s="29">
        <f>'FF Deposit'!O125+IF(Components!P125&gt;0,N125-Components!P125,N125*(1+EarningsRate))</f>
        <v>10202.592129834626</v>
      </c>
      <c r="P125" s="29">
        <f>'FF Deposit'!P125+IF(Components!Q125&gt;0,O125-Components!Q125,O125*(1+EarningsRate))</f>
        <v>11601.492115958772</v>
      </c>
      <c r="Q125" s="29">
        <f>'FF Deposit'!Q125+IF(Components!R125&gt;0,P125-Components!R125,P125*(1+EarningsRate))</f>
        <v>13029.769001791525</v>
      </c>
      <c r="R125" s="29">
        <f>'FF Deposit'!R125+IF(Components!S125&gt;0,Q125-Components!S125,Q125*(1+EarningsRate))</f>
        <v>1669.8285483683321</v>
      </c>
      <c r="S125" s="29">
        <f>'FF Deposit'!S125+IF(Components!T125&gt;0,R125-Components!T125,R125*(1+EarningsRate))</f>
        <v>3375.9544944608742</v>
      </c>
      <c r="T125" s="29">
        <f>'FF Deposit'!T125+IF(Components!U125&gt;0,S125-Components!U125,S125*(1+EarningsRate))</f>
        <v>5117.9090854213591</v>
      </c>
      <c r="U125" s="29">
        <f>'FF Deposit'!U125+IF(Components!V125&gt;0,T125-Components!V125,T125*(1+EarningsRate))</f>
        <v>6896.4447227920145</v>
      </c>
      <c r="V125" s="29">
        <f>'FF Deposit'!V125+IF(Components!W125&gt;0,U125-Components!W125,U125*(1+EarningsRate))</f>
        <v>8712.329608547454</v>
      </c>
      <c r="W125" s="29">
        <f>'FF Deposit'!W125+IF(Components!X125&gt;0,V125-Components!X125,V125*(1+EarningsRate))</f>
        <v>10566.348076903758</v>
      </c>
      <c r="X125" s="29">
        <f>'FF Deposit'!X125+IF(Components!Y125&gt;0,W125-Components!Y125,W125*(1+EarningsRate))</f>
        <v>12459.300933095543</v>
      </c>
      <c r="Y125" s="29">
        <f>'FF Deposit'!Y125+IF(Components!Z125&gt;0,X125-Components!Z125,X125*(1+EarningsRate))</f>
        <v>14392.005799267356</v>
      </c>
      <c r="Z125" s="29">
        <f>'FF Deposit'!Z125+IF(Components!AA125&gt;0,Y125-Components!AA125,Y125*(1+EarningsRate))</f>
        <v>16365.297467628776</v>
      </c>
      <c r="AA125" s="29">
        <f>'FF Deposit'!AA125+IF(Components!AB125&gt;0,Z125-Components!AB125,Z125*(1+EarningsRate))</f>
        <v>18380.028261025785</v>
      </c>
      <c r="AB125" s="29">
        <f>'FF Deposit'!AB125+IF(Components!AC125&gt;0,AA125-Components!AC125,AA125*(1+EarningsRate))</f>
        <v>2356.1570712190396</v>
      </c>
      <c r="AC125" s="29">
        <f>'FF Deposit'!AC125+IF(Components!AD125&gt;0,AB125-Components!AD125,AB125*(1+EarningsRate))</f>
        <v>4762.765179907894</v>
      </c>
      <c r="AD125" s="29">
        <f>'FF Deposit'!AD125+IF(Components!AE125&gt;0,AC125-Components!AE125,AC125*(1+EarningsRate))</f>
        <v>7219.9120588792139</v>
      </c>
      <c r="AE125" s="29">
        <f>'FF Deposit'!AE125+IF(Components!AF125&gt;0,AD125-Components!AF125,AD125*(1+EarningsRate))</f>
        <v>9728.6590223089297</v>
      </c>
      <c r="AF125" s="29">
        <f>'FF Deposit'!AF125+IF(Components!AG125&gt;0,AE125-Components!AG125,AE125*(1+EarningsRate))</f>
        <v>12290.089671970669</v>
      </c>
      <c r="AG125" s="29">
        <f>'FF Deposit'!AG125+IF(Components!AH125&gt;0,AF125-Components!AH125,AF125*(1+EarningsRate))</f>
        <v>14905.310365275305</v>
      </c>
      <c r="AH125" s="29">
        <f>'FF Deposit'!AH125+IF(Components!AI125&gt;0,AG125-Components!AI125,AG125*(1+EarningsRate))</f>
        <v>17575.450693139341</v>
      </c>
      <c r="AI125" s="29">
        <f>'FF Deposit'!AI125+IF(Components!AJ125&gt;0,AH125-Components!AJ125,AH125*(1+EarningsRate))</f>
        <v>20301.663967888519</v>
      </c>
      <c r="AJ125" s="29">
        <f>'FF Deposit'!AJ125+IF(Components!AK125&gt;0,AI125-Components!AK125,AI125*(1+EarningsRate))</f>
        <v>23085.127721407429</v>
      </c>
      <c r="AK125" s="29">
        <f>'FF Deposit'!AK125+IF(Components!AL125&gt;0,AJ125-Components!AL125,AJ125*(1+EarningsRate))</f>
        <v>25927.04421375024</v>
      </c>
      <c r="AL125" s="29">
        <f>'FF Deposit'!AL125+IF(Components!AM125&gt;0,AK125-Components!AM125,AK125*(1+EarningsRate))</f>
        <v>3323.9795160020594</v>
      </c>
      <c r="AM125" s="29">
        <f>'FF Deposit'!AM125+IF(Components!AN125&gt;0,AL125-Components!AN125,AL125*(1+EarningsRate))</f>
        <v>6718.7183880899229</v>
      </c>
      <c r="AN125" s="29">
        <f>'FF Deposit'!AN125+IF(Components!AO125&gt;0,AM125-Components!AO125,AM125*(1+EarningsRate))</f>
        <v>10184.746776491629</v>
      </c>
      <c r="AO125" s="29">
        <f>'FF Deposit'!AO125+IF(Components!AP125&gt;0,AN125-Components!AP125,AN125*(1+EarningsRate))</f>
        <v>13723.561761049772</v>
      </c>
      <c r="AP125" s="53"/>
    </row>
    <row r="126" spans="1:42" s="1" customFormat="1">
      <c r="A126" s="220" t="str">
        <f>Components!B126</f>
        <v>Golf Course</v>
      </c>
      <c r="B126" s="220" t="str">
        <f>Components!C126</f>
        <v xml:space="preserve">Lake Fountain North </v>
      </c>
      <c r="C126" s="211"/>
      <c r="D126" s="211"/>
      <c r="E126" s="82">
        <f>AnalysisYear-Components!I126-Components!J126</f>
        <v>10</v>
      </c>
      <c r="F126" s="82">
        <f>IF(H126&lt;0,Components!K126-MOD(AnalysisYear-Components!I126-Components!J126,Components!K126),AnalysisYear-Components!I126-Components!J126)</f>
        <v>10</v>
      </c>
      <c r="G126" s="11">
        <f>ROUND(Components!H126*IF(H126&lt;0,((1+InflationRate)^F126),((1+InflationRate)^H126)),0)</f>
        <v>10600</v>
      </c>
      <c r="H126" s="82">
        <f>IF(E126&gt;=0,Components!K126-E126,E126)</f>
        <v>0</v>
      </c>
      <c r="I126" s="82"/>
      <c r="J126" s="211"/>
      <c r="K126" s="29">
        <f>IF($H126&gt;0,FV(EarningsRate,F126,-'FF Deposit'!L126,1),Components!$H126)</f>
        <v>10600.47</v>
      </c>
      <c r="L126" s="29">
        <f>'FF Deposit'!L126+IF(Components!M126&gt;0,K126-Components!M126,K126*(1+EarningsRate))</f>
        <v>1359.7848026793149</v>
      </c>
      <c r="M126" s="29">
        <f>'FF Deposit'!M126+IF(Components!N126&gt;0,L126-Components!N126,L126*(1+EarningsRate))</f>
        <v>2747.6550862148961</v>
      </c>
      <c r="N126" s="29">
        <f>'FF Deposit'!N126+IF(Components!O126&gt;0,M126-Components!O126,M126*(1+EarningsRate))</f>
        <v>4164.6706457047239</v>
      </c>
      <c r="O126" s="29">
        <f>'FF Deposit'!O126+IF(Components!P126&gt;0,N126-Components!P126,N126*(1+EarningsRate))</f>
        <v>5611.443531943838</v>
      </c>
      <c r="P126" s="29">
        <f>'FF Deposit'!P126+IF(Components!Q126&gt;0,O126-Components!Q126,O126*(1+EarningsRate))</f>
        <v>7088.5986487939736</v>
      </c>
      <c r="Q126" s="29">
        <f>'FF Deposit'!Q126+IF(Components!R126&gt;0,P126-Components!R126,P126*(1+EarningsRate))</f>
        <v>8596.7740230979616</v>
      </c>
      <c r="R126" s="29">
        <f>'FF Deposit'!R126+IF(Components!S126&gt;0,Q126-Components!S126,Q126*(1+EarningsRate))</f>
        <v>10136.621080262334</v>
      </c>
      <c r="S126" s="29">
        <f>'FF Deposit'!S126+IF(Components!T126&gt;0,R126-Components!T126,R126*(1+EarningsRate))</f>
        <v>11708.804925627157</v>
      </c>
      <c r="T126" s="29">
        <f>'FF Deposit'!T126+IF(Components!U126&gt;0,S126-Components!U126,S126*(1+EarningsRate))</f>
        <v>13314.004631744641</v>
      </c>
      <c r="U126" s="29">
        <f>'FF Deposit'!U126+IF(Components!V126&gt;0,T126-Components!V126,T126*(1+EarningsRate))</f>
        <v>14952.913531690592</v>
      </c>
      <c r="V126" s="29">
        <f>'FF Deposit'!V126+IF(Components!W126&gt;0,U126-Components!W126,U126*(1+EarningsRate))</f>
        <v>1917.4450641871779</v>
      </c>
      <c r="W126" s="29">
        <f>'FF Deposit'!W126+IF(Components!X126&gt;0,V126-Components!X126,V126*(1+EarningsRate))</f>
        <v>3875.2429430316943</v>
      </c>
      <c r="X126" s="29">
        <f>'FF Deposit'!X126+IF(Components!Y126&gt;0,W126-Components!Y126,W126*(1+EarningsRate))</f>
        <v>5874.1545773319449</v>
      </c>
      <c r="Y126" s="29">
        <f>'FF Deposit'!Y126+IF(Components!Z126&gt;0,X126-Components!Z126,X126*(1+EarningsRate))</f>
        <v>7915.0433559525009</v>
      </c>
      <c r="Z126" s="29">
        <f>'FF Deposit'!Z126+IF(Components!AA126&gt;0,Y126-Components!AA126,Y126*(1+EarningsRate))</f>
        <v>9998.7907989240884</v>
      </c>
      <c r="AA126" s="29">
        <f>'FF Deposit'!AA126+IF(Components!AB126&gt;0,Z126-Components!AB126,Z126*(1+EarningsRate))</f>
        <v>12126.296938198078</v>
      </c>
      <c r="AB126" s="29">
        <f>'FF Deposit'!AB126+IF(Components!AC126&gt;0,AA126-Components!AC126,AA126*(1+EarningsRate))</f>
        <v>14298.480706396822</v>
      </c>
      <c r="AC126" s="29">
        <f>'FF Deposit'!AC126+IF(Components!AD126&gt;0,AB126-Components!AD126,AB126*(1+EarningsRate))</f>
        <v>16516.28033372774</v>
      </c>
      <c r="AD126" s="29">
        <f>'FF Deposit'!AD126+IF(Components!AE126&gt;0,AC126-Components!AE126,AC126*(1+EarningsRate))</f>
        <v>18780.653753232607</v>
      </c>
      <c r="AE126" s="29">
        <f>'FF Deposit'!AE126+IF(Components!AF126&gt;0,AD126-Components!AF126,AD126*(1+EarningsRate))</f>
        <v>21092.579014547075</v>
      </c>
      <c r="AF126" s="29">
        <f>'FF Deposit'!AF126+IF(Components!AG126&gt;0,AE126-Components!AG126,AE126*(1+EarningsRate))</f>
        <v>2704.4872346333764</v>
      </c>
      <c r="AG126" s="29">
        <f>'FF Deposit'!AG126+IF(Components!AH126&gt;0,AF126-Components!AH126,AF126*(1+EarningsRate))</f>
        <v>5466.1896866469788</v>
      </c>
      <c r="AH126" s="29">
        <f>'FF Deposit'!AH126+IF(Components!AI126&gt;0,AG126-Components!AI126,AG126*(1+EarningsRate))</f>
        <v>8285.887890152866</v>
      </c>
      <c r="AI126" s="29">
        <f>'FF Deposit'!AI126+IF(Components!AJ126&gt;0,AH126-Components!AJ126,AH126*(1+EarningsRate))</f>
        <v>11164.799755932378</v>
      </c>
      <c r="AJ126" s="29">
        <f>'FF Deposit'!AJ126+IF(Components!AK126&gt;0,AI126-Components!AK126,AI126*(1+EarningsRate))</f>
        <v>14104.168770893259</v>
      </c>
      <c r="AK126" s="29">
        <f>'FF Deposit'!AK126+IF(Components!AL126&gt;0,AJ126-Components!AL126,AJ126*(1+EarningsRate))</f>
        <v>17105.264535168317</v>
      </c>
      <c r="AL126" s="29">
        <f>'FF Deposit'!AL126+IF(Components!AM126&gt;0,AK126-Components!AM126,AK126*(1+EarningsRate))</f>
        <v>20169.383310493151</v>
      </c>
      <c r="AM126" s="29">
        <f>'FF Deposit'!AM126+IF(Components!AN126&gt;0,AL126-Components!AN126,AL126*(1+EarningsRate))</f>
        <v>23297.848580099806</v>
      </c>
      <c r="AN126" s="29">
        <f>'FF Deposit'!AN126+IF(Components!AO126&gt;0,AM126-Components!AO126,AM126*(1+EarningsRate))</f>
        <v>26492.011620368201</v>
      </c>
      <c r="AO126" s="29">
        <f>'FF Deposit'!AO126+IF(Components!AP126&gt;0,AN126-Components!AP126,AN126*(1+EarningsRate))</f>
        <v>29753.252084482232</v>
      </c>
      <c r="AP126" s="53"/>
    </row>
    <row r="127" spans="1:42" s="1" customFormat="1">
      <c r="A127" s="220" t="str">
        <f>Components!B127</f>
        <v>Golf Course</v>
      </c>
      <c r="B127" s="220" t="str">
        <f>Components!C127</f>
        <v>Pond Repairs/Maintenance</v>
      </c>
      <c r="C127" s="211"/>
      <c r="D127" s="211"/>
      <c r="E127" s="82">
        <f>AnalysisYear-Components!I127-Components!J127</f>
        <v>28</v>
      </c>
      <c r="F127" s="82">
        <f>IF(H127&lt;0,Components!K127-MOD(AnalysisYear-Components!I127-Components!J127,Components!K127),AnalysisYear-Components!I127-Components!J127)</f>
        <v>28</v>
      </c>
      <c r="G127" s="11">
        <f>ROUND(Components!H127*IF(H127&lt;0,((1+InflationRate)^F127),((1+InflationRate)^H127)),0)</f>
        <v>258144</v>
      </c>
      <c r="H127" s="82">
        <f>IF(E127&gt;=0,Components!K127-E127,E127)</f>
        <v>2</v>
      </c>
      <c r="I127" s="82"/>
      <c r="J127" s="211"/>
      <c r="K127" s="29">
        <f>IF($H127&gt;0,FV(EarningsRate,F127,-'FF Deposit'!L127,1),Components!$H127)</f>
        <v>235487.89707518576</v>
      </c>
      <c r="L127" s="29">
        <f>'FF Deposit'!L127+IF(Components!M127&gt;0,K127-Components!M127,K127*(1+EarningsRate))</f>
        <v>246697.31692850881</v>
      </c>
      <c r="M127" s="29">
        <f>'FF Deposit'!M127+IF(Components!N127&gt;0,L127-Components!N127,L127*(1+EarningsRate))</f>
        <v>258142.13459875164</v>
      </c>
      <c r="N127" s="29">
        <f>'FF Deposit'!N127+IF(Components!O127&gt;0,M127-Components!O127,M127*(1+EarningsRate))</f>
        <v>17580.378788497339</v>
      </c>
      <c r="O127" s="29">
        <f>'FF Deposit'!O127+IF(Components!P127&gt;0,N127-Components!P127,N127*(1+EarningsRate))</f>
        <v>35531.810932801483</v>
      </c>
      <c r="P127" s="29">
        <f>'FF Deposit'!P127+IF(Components!Q127&gt;0,O127-Components!Q127,O127*(1+EarningsRate))</f>
        <v>53860.223152136008</v>
      </c>
      <c r="Q127" s="29">
        <f>'FF Deposit'!Q127+IF(Components!R127&gt;0,P127-Components!R127,P127*(1+EarningsRate))</f>
        <v>72573.532028076559</v>
      </c>
      <c r="R127" s="29">
        <f>'FF Deposit'!R127+IF(Components!S127&gt;0,Q127-Components!S127,Q127*(1+EarningsRate))</f>
        <v>91679.820390411856</v>
      </c>
      <c r="S127" s="29">
        <f>'FF Deposit'!S127+IF(Components!T127&gt;0,R127-Components!T127,R127*(1+EarningsRate))</f>
        <v>111187.3408083562</v>
      </c>
      <c r="T127" s="29">
        <f>'FF Deposit'!T127+IF(Components!U127&gt;0,S127-Components!U127,S127*(1+EarningsRate))</f>
        <v>131104.51915507737</v>
      </c>
      <c r="U127" s="29">
        <f>'FF Deposit'!U127+IF(Components!V127&gt;0,T127-Components!V127,T127*(1+EarningsRate))</f>
        <v>151439.95824707969</v>
      </c>
      <c r="V127" s="29">
        <f>'FF Deposit'!V127+IF(Components!W127&gt;0,U127-Components!W127,U127*(1+EarningsRate))</f>
        <v>172202.44156001403</v>
      </c>
      <c r="W127" s="29">
        <f>'FF Deposit'!W127+IF(Components!X127&gt;0,V127-Components!X127,V127*(1+EarningsRate))</f>
        <v>193400.93702252</v>
      </c>
      <c r="X127" s="29">
        <f>'FF Deposit'!X127+IF(Components!Y127&gt;0,W127-Components!Y127,W127*(1+EarningsRate))</f>
        <v>215044.60088973859</v>
      </c>
      <c r="Y127" s="29">
        <f>'FF Deposit'!Y127+IF(Components!Z127&gt;0,X127-Components!Z127,X127*(1+EarningsRate))</f>
        <v>237142.78169816878</v>
      </c>
      <c r="Z127" s="29">
        <f>'FF Deposit'!Z127+IF(Components!AA127&gt;0,Y127-Components!AA127,Y127*(1+EarningsRate))</f>
        <v>259705.02430357598</v>
      </c>
      <c r="AA127" s="29">
        <f>'FF Deposit'!AA127+IF(Components!AB127&gt;0,Z127-Components!AB127,Z127*(1+EarningsRate))</f>
        <v>282741.07400369673</v>
      </c>
      <c r="AB127" s="29">
        <f>'FF Deposit'!AB127+IF(Components!AC127&gt;0,AA127-Components!AC127,AA127*(1+EarningsRate))</f>
        <v>306260.88074752002</v>
      </c>
      <c r="AC127" s="29">
        <f>'FF Deposit'!AC127+IF(Components!AD127&gt;0,AB127-Components!AD127,AB127*(1+EarningsRate))</f>
        <v>330274.6034329636</v>
      </c>
      <c r="AD127" s="29">
        <f>'FF Deposit'!AD127+IF(Components!AE127&gt;0,AC127-Components!AE127,AC127*(1+EarningsRate))</f>
        <v>354792.61429480149</v>
      </c>
      <c r="AE127" s="29">
        <f>'FF Deposit'!AE127+IF(Components!AF127&gt;0,AD127-Components!AF127,AD127*(1+EarningsRate))</f>
        <v>379825.503384738</v>
      </c>
      <c r="AF127" s="29">
        <f>'FF Deposit'!AF127+IF(Components!AG127&gt;0,AE127-Components!AG127,AE127*(1+EarningsRate))</f>
        <v>405384.08314556314</v>
      </c>
      <c r="AG127" s="29">
        <f>'FF Deposit'!AG127+IF(Components!AH127&gt;0,AF127-Components!AH127,AF127*(1+EarningsRate))</f>
        <v>431479.39308136562</v>
      </c>
      <c r="AH127" s="29">
        <f>'FF Deposit'!AH127+IF(Components!AI127&gt;0,AG127-Components!AI127,AG127*(1+EarningsRate))</f>
        <v>458122.70452581992</v>
      </c>
      <c r="AI127" s="29">
        <f>'FF Deposit'!AI127+IF(Components!AJ127&gt;0,AH127-Components!AJ127,AH127*(1+EarningsRate))</f>
        <v>485325.52551060781</v>
      </c>
      <c r="AJ127" s="29">
        <f>'FF Deposit'!AJ127+IF(Components!AK127&gt;0,AI127-Components!AK127,AI127*(1+EarningsRate))</f>
        <v>513099.60573607619</v>
      </c>
      <c r="AK127" s="29">
        <f>'FF Deposit'!AK127+IF(Components!AL127&gt;0,AJ127-Components!AL127,AJ127*(1+EarningsRate))</f>
        <v>541456.94164627942</v>
      </c>
      <c r="AL127" s="29">
        <f>'FF Deposit'!AL127+IF(Components!AM127&gt;0,AK127-Components!AM127,AK127*(1+EarningsRate))</f>
        <v>570409.78161059693</v>
      </c>
      <c r="AM127" s="29">
        <f>'FF Deposit'!AM127+IF(Components!AN127&gt;0,AL127-Components!AN127,AL127*(1+EarningsRate))</f>
        <v>599970.63121416513</v>
      </c>
      <c r="AN127" s="29">
        <f>'FF Deposit'!AN127+IF(Components!AO127&gt;0,AM127-Components!AO127,AM127*(1+EarningsRate))</f>
        <v>630152.25865940831</v>
      </c>
      <c r="AO127" s="29">
        <f>'FF Deposit'!AO127+IF(Components!AP127&gt;0,AN127-Components!AP127,AN127*(1+EarningsRate))</f>
        <v>660967.70028100163</v>
      </c>
      <c r="AP127" s="53"/>
    </row>
    <row r="128" spans="1:42" s="1" customFormat="1">
      <c r="A128" s="220" t="str">
        <f>Components!B128</f>
        <v>Golf Course</v>
      </c>
      <c r="B128" s="220" t="str">
        <f>Components!C128</f>
        <v>Pump House Roof TPO</v>
      </c>
      <c r="C128" s="211"/>
      <c r="D128" s="211"/>
      <c r="E128" s="82">
        <f>AnalysisYear-Components!I128-Components!J128</f>
        <v>25</v>
      </c>
      <c r="F128" s="82">
        <f>IF(H128&lt;0,Components!K128-MOD(AnalysisYear-Components!I128-Components!J128,Components!K128),AnalysisYear-Components!I128-Components!J128)</f>
        <v>25</v>
      </c>
      <c r="G128" s="11">
        <f>ROUND(Components!H128*IF(H128&lt;0,((1+InflationRate)^F128),((1+InflationRate)^H128)),0)</f>
        <v>10350</v>
      </c>
      <c r="H128" s="82">
        <f>IF(E128&gt;=0,Components!K128-E128,E128)</f>
        <v>0</v>
      </c>
      <c r="I128" s="82"/>
      <c r="J128" s="211"/>
      <c r="K128" s="29">
        <f>IF($H128&gt;0,FV(EarningsRate,F128,-'FF Deposit'!L128,1),Components!$H128)</f>
        <v>10350</v>
      </c>
      <c r="L128" s="29">
        <f>'FF Deposit'!L128+IF(Components!M128&gt;0,K128-Components!M128,K128*(1+EarningsRate))</f>
        <v>753.93533651529071</v>
      </c>
      <c r="M128" s="29">
        <f>'FF Deposit'!M128+IF(Components!N128&gt;0,L128-Components!N128,L128*(1+EarningsRate))</f>
        <v>1523.7033150974025</v>
      </c>
      <c r="N128" s="29">
        <f>'FF Deposit'!N128+IF(Components!O128&gt;0,M128-Components!O128,M128*(1+EarningsRate))</f>
        <v>2309.6364212297385</v>
      </c>
      <c r="O128" s="29">
        <f>'FF Deposit'!O128+IF(Components!P128&gt;0,N128-Components!P128,N128*(1+EarningsRate))</f>
        <v>3112.0741225908532</v>
      </c>
      <c r="P128" s="29">
        <f>'FF Deposit'!P128+IF(Components!Q128&gt;0,O128-Components!Q128,O128*(1+EarningsRate))</f>
        <v>3931.3630156805516</v>
      </c>
      <c r="Q128" s="29">
        <f>'FF Deposit'!Q128+IF(Components!R128&gt;0,P128-Components!R128,P128*(1+EarningsRate))</f>
        <v>4767.8569755251337</v>
      </c>
      <c r="R128" s="29">
        <f>'FF Deposit'!R128+IF(Components!S128&gt;0,Q128-Components!S128,Q128*(1+EarningsRate))</f>
        <v>5621.917308526452</v>
      </c>
      <c r="S128" s="29">
        <f>'FF Deposit'!S128+IF(Components!T128&gt;0,R128-Components!T128,R128*(1+EarningsRate))</f>
        <v>6493.9129085207978</v>
      </c>
      <c r="T128" s="29">
        <f>'FF Deposit'!T128+IF(Components!U128&gt;0,S128-Components!U128,S128*(1+EarningsRate))</f>
        <v>7384.2204161150248</v>
      </c>
      <c r="U128" s="29">
        <f>'FF Deposit'!U128+IF(Components!V128&gt;0,T128-Components!V128,T128*(1+EarningsRate))</f>
        <v>8293.224381368731</v>
      </c>
      <c r="V128" s="29">
        <f>'FF Deposit'!V128+IF(Components!W128&gt;0,U128-Components!W128,U128*(1+EarningsRate))</f>
        <v>9221.3174298927643</v>
      </c>
      <c r="W128" s="29">
        <f>'FF Deposit'!W128+IF(Components!X128&gt;0,V128-Components!X128,V128*(1+EarningsRate))</f>
        <v>10168.900432435803</v>
      </c>
      <c r="X128" s="29">
        <f>'FF Deposit'!X128+IF(Components!Y128&gt;0,W128-Components!Y128,W128*(1+EarningsRate))</f>
        <v>11136.382678032245</v>
      </c>
      <c r="Y128" s="29">
        <f>'FF Deposit'!Y128+IF(Components!Z128&gt;0,X128-Components!Z128,X128*(1+EarningsRate))</f>
        <v>12124.182050786212</v>
      </c>
      <c r="Z128" s="29">
        <f>'FF Deposit'!Z128+IF(Components!AA128&gt;0,Y128-Components!AA128,Y128*(1+EarningsRate))</f>
        <v>13132.725210368013</v>
      </c>
      <c r="AA128" s="29">
        <f>'FF Deposit'!AA128+IF(Components!AB128&gt;0,Z128-Components!AB128,Z128*(1+EarningsRate))</f>
        <v>14162.447776301031</v>
      </c>
      <c r="AB128" s="29">
        <f>'FF Deposit'!AB128+IF(Components!AC128&gt;0,AA128-Components!AC128,AA128*(1+EarningsRate))</f>
        <v>15213.794516118642</v>
      </c>
      <c r="AC128" s="29">
        <f>'FF Deposit'!AC128+IF(Components!AD128&gt;0,AB128-Components!AD128,AB128*(1+EarningsRate))</f>
        <v>16287.219537472423</v>
      </c>
      <c r="AD128" s="29">
        <f>'FF Deposit'!AD128+IF(Components!AE128&gt;0,AC128-Components!AE128,AC128*(1+EarningsRate))</f>
        <v>17383.186484274633</v>
      </c>
      <c r="AE128" s="29">
        <f>'FF Deposit'!AE128+IF(Components!AF128&gt;0,AD128-Components!AF128,AD128*(1+EarningsRate))</f>
        <v>18502.168736959688</v>
      </c>
      <c r="AF128" s="29">
        <f>'FF Deposit'!AF128+IF(Components!AG128&gt;0,AE128-Components!AG128,AE128*(1+EarningsRate))</f>
        <v>19644.64961695113</v>
      </c>
      <c r="AG128" s="29">
        <f>'FF Deposit'!AG128+IF(Components!AH128&gt;0,AF128-Components!AH128,AF128*(1+EarningsRate))</f>
        <v>20811.122595422392</v>
      </c>
      <c r="AH128" s="29">
        <f>'FF Deposit'!AH128+IF(Components!AI128&gt;0,AG128-Components!AI128,AG128*(1+EarningsRate))</f>
        <v>22002.091506441549</v>
      </c>
      <c r="AI128" s="29">
        <f>'FF Deposit'!AI128+IF(Components!AJ128&gt;0,AH128-Components!AJ128,AH128*(1+EarningsRate))</f>
        <v>23218.07076459211</v>
      </c>
      <c r="AJ128" s="29">
        <f>'FF Deposit'!AJ128+IF(Components!AK128&gt;0,AI128-Components!AK128,AI128*(1+EarningsRate))</f>
        <v>24459.58558716383</v>
      </c>
      <c r="AK128" s="29">
        <f>'FF Deposit'!AK128+IF(Components!AL128&gt;0,AJ128-Components!AL128,AJ128*(1+EarningsRate))</f>
        <v>1781.3496771313673</v>
      </c>
      <c r="AL128" s="29">
        <f>'FF Deposit'!AL128+IF(Components!AM128&gt;0,AK128-Components!AM128,AK128*(1+EarningsRate))</f>
        <v>3600.5221103186627</v>
      </c>
      <c r="AM128" s="29">
        <f>'FF Deposit'!AM128+IF(Components!AN128&gt;0,AL128-Components!AN128,AL128*(1+EarningsRate))</f>
        <v>5457.8971646028913</v>
      </c>
      <c r="AN128" s="29">
        <f>'FF Deposit'!AN128+IF(Components!AO128&gt;0,AM128-Components!AO128,AM128*(1+EarningsRate))</f>
        <v>7354.2770950270888</v>
      </c>
      <c r="AO128" s="29">
        <f>'FF Deposit'!AO128+IF(Components!AP128&gt;0,AN128-Components!AP128,AN128*(1+EarningsRate))</f>
        <v>9290.4810039901931</v>
      </c>
      <c r="AP128" s="53"/>
    </row>
    <row r="129" spans="1:42" s="1" customFormat="1">
      <c r="A129" s="220" t="str">
        <f>Components!B129</f>
        <v>Golf Course</v>
      </c>
      <c r="B129" s="220" t="str">
        <f>Components!C129</f>
        <v>Update Field Controls</v>
      </c>
      <c r="C129" s="211"/>
      <c r="D129" s="211"/>
      <c r="E129" s="82">
        <f>AnalysisYear-Components!I129-Components!J129</f>
        <v>5</v>
      </c>
      <c r="F129" s="82">
        <f>IF(H129&lt;0,Components!K129-MOD(AnalysisYear-Components!I129-Components!J129,Components!K129),AnalysisYear-Components!I129-Components!J129)</f>
        <v>5</v>
      </c>
      <c r="G129" s="11">
        <f>ROUND(Components!H129*IF(H129&lt;0,((1+InflationRate)^F129),((1+InflationRate)^H129)),0)</f>
        <v>37806</v>
      </c>
      <c r="H129" s="82">
        <f>IF(E129&gt;=0,Components!K129-E129,E129)</f>
        <v>15</v>
      </c>
      <c r="I129" s="82"/>
      <c r="J129" s="211"/>
      <c r="K129" s="29">
        <f>IF($H129&gt;0,FV(EarningsRate,F129,-'FF Deposit'!L129,1),Components!$H129)</f>
        <v>8031.9547433046482</v>
      </c>
      <c r="L129" s="29">
        <f>'FF Deposit'!L129+IF(Components!M129&gt;0,K129-Components!M129,K129*(1+EarningsRate))</f>
        <v>9741.1629989854209</v>
      </c>
      <c r="M129" s="29">
        <f>'FF Deposit'!M129+IF(Components!N129&gt;0,L129-Components!N129,L129*(1+EarningsRate))</f>
        <v>11486.264628035489</v>
      </c>
      <c r="N129" s="29">
        <f>'FF Deposit'!N129+IF(Components!O129&gt;0,M129-Components!O129,M129*(1+EarningsRate))</f>
        <v>13268.01339129561</v>
      </c>
      <c r="O129" s="29">
        <f>'FF Deposit'!O129+IF(Components!P129&gt;0,N129-Components!P129,N129*(1+EarningsRate))</f>
        <v>15087.178878584193</v>
      </c>
      <c r="P129" s="29">
        <f>'FF Deposit'!P129+IF(Components!Q129&gt;0,O129-Components!Q129,O129*(1+EarningsRate))</f>
        <v>16944.546841105835</v>
      </c>
      <c r="Q129" s="29">
        <f>'FF Deposit'!Q129+IF(Components!R129&gt;0,P129-Components!R129,P129*(1+EarningsRate))</f>
        <v>18840.919530840434</v>
      </c>
      <c r="R129" s="29">
        <f>'FF Deposit'!R129+IF(Components!S129&gt;0,Q129-Components!S129,Q129*(1+EarningsRate))</f>
        <v>20777.116047059459</v>
      </c>
      <c r="S129" s="29">
        <f>'FF Deposit'!S129+IF(Components!T129&gt;0,R129-Components!T129,R129*(1+EarningsRate))</f>
        <v>22753.972690119084</v>
      </c>
      <c r="T129" s="29">
        <f>'FF Deposit'!T129+IF(Components!U129&gt;0,S129-Components!U129,S129*(1+EarningsRate))</f>
        <v>24772.343322682962</v>
      </c>
      <c r="U129" s="29">
        <f>'FF Deposit'!U129+IF(Components!V129&gt;0,T129-Components!V129,T129*(1+EarningsRate))</f>
        <v>26833.09973853068</v>
      </c>
      <c r="V129" s="29">
        <f>'FF Deposit'!V129+IF(Components!W129&gt;0,U129-Components!W129,U129*(1+EarningsRate))</f>
        <v>28937.132039111199</v>
      </c>
      <c r="W129" s="29">
        <f>'FF Deposit'!W129+IF(Components!X129&gt;0,V129-Components!X129,V129*(1+EarningsRate))</f>
        <v>31085.349018003908</v>
      </c>
      <c r="X129" s="29">
        <f>'FF Deposit'!X129+IF(Components!Y129&gt;0,W129-Components!Y129,W129*(1+EarningsRate))</f>
        <v>33278.678553453363</v>
      </c>
      <c r="Y129" s="29">
        <f>'FF Deposit'!Y129+IF(Components!Z129&gt;0,X129-Components!Z129,X129*(1+EarningsRate))</f>
        <v>35518.06800914726</v>
      </c>
      <c r="Z129" s="29">
        <f>'FF Deposit'!Z129+IF(Components!AA129&gt;0,Y129-Components!AA129,Y129*(1+EarningsRate))</f>
        <v>37804.484643410731</v>
      </c>
      <c r="AA129" s="29">
        <f>'FF Deposit'!AA129+IF(Components!AB129&gt;0,Z129-Components!AB129,Z129*(1+EarningsRate))</f>
        <v>3063.8284198063402</v>
      </c>
      <c r="AB129" s="29">
        <f>'FF Deposit'!AB129+IF(Components!AC129&gt;0,AA129-Components!AC129,AA129*(1+EarningsRate))</f>
        <v>6193.512593017882</v>
      </c>
      <c r="AC129" s="29">
        <f>'FF Deposit'!AC129+IF(Components!AD129&gt;0,AB129-Components!AD129,AB129*(1+EarningsRate))</f>
        <v>9388.9201338668663</v>
      </c>
      <c r="AD129" s="29">
        <f>'FF Deposit'!AD129+IF(Components!AE129&gt;0,AC129-Components!AE129,AC129*(1+EarningsRate))</f>
        <v>12651.431233073679</v>
      </c>
      <c r="AE129" s="29">
        <f>'FF Deposit'!AE129+IF(Components!AF129&gt;0,AD129-Components!AF129,AD129*(1+EarningsRate))</f>
        <v>15982.455065363836</v>
      </c>
      <c r="AF129" s="29">
        <f>'FF Deposit'!AF129+IF(Components!AG129&gt;0,AE129-Components!AG129,AE129*(1+EarningsRate))</f>
        <v>19383.430398132085</v>
      </c>
      <c r="AG129" s="29">
        <f>'FF Deposit'!AG129+IF(Components!AH129&gt;0,AF129-Components!AH129,AF129*(1+EarningsRate))</f>
        <v>22855.826212888467</v>
      </c>
      <c r="AH129" s="29">
        <f>'FF Deposit'!AH129+IF(Components!AI129&gt;0,AG129-Components!AI129,AG129*(1+EarningsRate))</f>
        <v>26401.142339754733</v>
      </c>
      <c r="AI129" s="29">
        <f>'FF Deposit'!AI129+IF(Components!AJ129&gt;0,AH129-Components!AJ129,AH129*(1+EarningsRate))</f>
        <v>30020.910105285191</v>
      </c>
      <c r="AJ129" s="29">
        <f>'FF Deposit'!AJ129+IF(Components!AK129&gt;0,AI129-Components!AK129,AI129*(1+EarningsRate))</f>
        <v>33716.692993891782</v>
      </c>
      <c r="AK129" s="29">
        <f>'FF Deposit'!AK129+IF(Components!AL129&gt;0,AJ129-Components!AL129,AJ129*(1+EarningsRate))</f>
        <v>37490.087323159118</v>
      </c>
      <c r="AL129" s="29">
        <f>'FF Deposit'!AL129+IF(Components!AM129&gt;0,AK129-Components!AM129,AK129*(1+EarningsRate))</f>
        <v>41342.722933341065</v>
      </c>
      <c r="AM129" s="29">
        <f>'FF Deposit'!AM129+IF(Components!AN129&gt;0,AL129-Components!AN129,AL129*(1+EarningsRate))</f>
        <v>45276.263891336836</v>
      </c>
      <c r="AN129" s="29">
        <f>'FF Deposit'!AN129+IF(Components!AO129&gt;0,AM129-Components!AO129,AM129*(1+EarningsRate))</f>
        <v>49292.409209450518</v>
      </c>
      <c r="AO129" s="29">
        <f>'FF Deposit'!AO129+IF(Components!AP129&gt;0,AN129-Components!AP129,AN129*(1+EarningsRate))</f>
        <v>53392.893579244585</v>
      </c>
      <c r="AP129" s="53"/>
    </row>
    <row r="130" spans="1:42" s="1" customFormat="1">
      <c r="A130" s="220" t="str">
        <f>Components!B130</f>
        <v>Golf Course</v>
      </c>
      <c r="B130" s="220" t="str">
        <f>Components!C130</f>
        <v>Update Pump Station</v>
      </c>
      <c r="C130" s="211"/>
      <c r="D130" s="211"/>
      <c r="E130" s="82">
        <f>AnalysisYear-Components!I130-Components!J130</f>
        <v>10</v>
      </c>
      <c r="F130" s="82">
        <f>IF(H130&lt;0,Components!K130-MOD(AnalysisYear-Components!I130-Components!J130,Components!K130),AnalysisYear-Components!I130-Components!J130)</f>
        <v>10</v>
      </c>
      <c r="G130" s="11">
        <f>ROUND(Components!H130*IF(H130&lt;0,((1+InflationRate)^F130),((1+InflationRate)^H130)),0)</f>
        <v>212692</v>
      </c>
      <c r="H130" s="82">
        <f>IF(E130&gt;=0,Components!K130-E130,E130)</f>
        <v>20</v>
      </c>
      <c r="I130" s="82"/>
      <c r="J130" s="211"/>
      <c r="K130" s="29">
        <f>IF($H130&gt;0,FV(EarningsRate,F130,-'FF Deposit'!L130,1),Components!$H130)</f>
        <v>56771.822140408971</v>
      </c>
      <c r="L130" s="29">
        <f>'FF Deposit'!L130+IF(Components!M130&gt;0,K130-Components!M130,K130*(1+EarningsRate))</f>
        <v>63125.257083273624</v>
      </c>
      <c r="M130" s="29">
        <f>'FF Deposit'!M130+IF(Components!N130&gt;0,L130-Components!N130,L130*(1+EarningsRate))</f>
        <v>69612.114159938428</v>
      </c>
      <c r="N130" s="29">
        <f>'FF Deposit'!N130+IF(Components!O130&gt;0,M130-Components!O130,M130*(1+EarningsRate))</f>
        <v>76235.195235213207</v>
      </c>
      <c r="O130" s="29">
        <f>'FF Deposit'!O130+IF(Components!P130&gt;0,N130-Components!P130,N130*(1+EarningsRate))</f>
        <v>82997.361013068745</v>
      </c>
      <c r="P130" s="29">
        <f>'FF Deposit'!P130+IF(Components!Q130&gt;0,O130-Components!Q130,O130*(1+EarningsRate))</f>
        <v>89901.532272259254</v>
      </c>
      <c r="Q130" s="29">
        <f>'FF Deposit'!Q130+IF(Components!R130&gt;0,P130-Components!R130,P130*(1+EarningsRate))</f>
        <v>96950.691127892758</v>
      </c>
      <c r="R130" s="29">
        <f>'FF Deposit'!R130+IF(Components!S130&gt;0,Q130-Components!S130,Q130*(1+EarningsRate))</f>
        <v>104147.88231949457</v>
      </c>
      <c r="S130" s="29">
        <f>'FF Deposit'!S130+IF(Components!T130&gt;0,R130-Components!T130,R130*(1+EarningsRate))</f>
        <v>111496.21452612002</v>
      </c>
      <c r="T130" s="29">
        <f>'FF Deposit'!T130+IF(Components!U130&gt;0,S130-Components!U130,S130*(1+EarningsRate))</f>
        <v>118998.86170908459</v>
      </c>
      <c r="U130" s="29">
        <f>'FF Deposit'!U130+IF(Components!V130&gt;0,T130-Components!V130,T130*(1+EarningsRate))</f>
        <v>126659.06448289144</v>
      </c>
      <c r="V130" s="29">
        <f>'FF Deposit'!V130+IF(Components!W130&gt;0,U130-Components!W130,U130*(1+EarningsRate))</f>
        <v>134480.13151494821</v>
      </c>
      <c r="W130" s="29">
        <f>'FF Deposit'!W130+IF(Components!X130&gt;0,V130-Components!X130,V130*(1+EarningsRate))</f>
        <v>142465.44095467817</v>
      </c>
      <c r="X130" s="29">
        <f>'FF Deposit'!X130+IF(Components!Y130&gt;0,W130-Components!Y130,W130*(1+EarningsRate))</f>
        <v>150618.44189264247</v>
      </c>
      <c r="Y130" s="29">
        <f>'FF Deposit'!Y130+IF(Components!Z130&gt;0,X130-Components!Z130,X130*(1+EarningsRate))</f>
        <v>158942.65585030403</v>
      </c>
      <c r="Z130" s="29">
        <f>'FF Deposit'!Z130+IF(Components!AA130&gt;0,Y130-Components!AA130,Y130*(1+EarningsRate))</f>
        <v>167441.67830107646</v>
      </c>
      <c r="AA130" s="29">
        <f>'FF Deposit'!AA130+IF(Components!AB130&gt;0,Z130-Components!AB130,Z130*(1+EarningsRate))</f>
        <v>176119.18022331511</v>
      </c>
      <c r="AB130" s="29">
        <f>'FF Deposit'!AB130+IF(Components!AC130&gt;0,AA130-Components!AC130,AA130*(1+EarningsRate))</f>
        <v>184978.90968592078</v>
      </c>
      <c r="AC130" s="29">
        <f>'FF Deposit'!AC130+IF(Components!AD130&gt;0,AB130-Components!AD130,AB130*(1+EarningsRate))</f>
        <v>194024.69346724116</v>
      </c>
      <c r="AD130" s="29">
        <f>'FF Deposit'!AD130+IF(Components!AE130&gt;0,AC130-Components!AE130,AC130*(1+EarningsRate))</f>
        <v>203260.43870796927</v>
      </c>
      <c r="AE130" s="29">
        <f>'FF Deposit'!AE130+IF(Components!AF130&gt;0,AD130-Components!AF130,AD130*(1+EarningsRate))</f>
        <v>212690.13459875269</v>
      </c>
      <c r="AF130" s="29">
        <f>'FF Deposit'!AF130+IF(Components!AG130&gt;0,AE130-Components!AG130,AE130*(1+EarningsRate))</f>
        <v>14484.633146870759</v>
      </c>
      <c r="AG130" s="29">
        <f>'FF Deposit'!AG130+IF(Components!AH130&gt;0,AF130-Components!AH130,AF130*(1+EarningsRate))</f>
        <v>29275.308991073114</v>
      </c>
      <c r="AH130" s="29">
        <f>'FF Deposit'!AH130+IF(Components!AI130&gt;0,AG130-Components!AI130,AG130*(1+EarningsRate))</f>
        <v>44376.58902800372</v>
      </c>
      <c r="AI130" s="29">
        <f>'FF Deposit'!AI130+IF(Components!AJ130&gt;0,AH130-Components!AJ130,AH130*(1+EarningsRate))</f>
        <v>59794.995945709867</v>
      </c>
      <c r="AJ130" s="29">
        <f>'FF Deposit'!AJ130+IF(Components!AK130&gt;0,AI130-Components!AK130,AI130*(1+EarningsRate))</f>
        <v>75537.189408687846</v>
      </c>
      <c r="AK130" s="29">
        <f>'FF Deposit'!AK130+IF(Components!AL130&gt;0,AJ130-Components!AL130,AJ130*(1+EarningsRate))</f>
        <v>91609.968934388366</v>
      </c>
      <c r="AL130" s="29">
        <f>'FF Deposit'!AL130+IF(Components!AM130&gt;0,AK130-Components!AM130,AK130*(1+EarningsRate))</f>
        <v>108020.27683012858</v>
      </c>
      <c r="AM130" s="29">
        <f>'FF Deposit'!AM130+IF(Components!AN130&gt;0,AL130-Components!AN130,AL130*(1+EarningsRate))</f>
        <v>124775.20119167936</v>
      </c>
      <c r="AN130" s="29">
        <f>'FF Deposit'!AN130+IF(Components!AO130&gt;0,AM130-Components!AO130,AM130*(1+EarningsRate))</f>
        <v>141881.97896482269</v>
      </c>
      <c r="AO130" s="29">
        <f>'FF Deposit'!AO130+IF(Components!AP130&gt;0,AN130-Components!AP130,AN130*(1+EarningsRate))</f>
        <v>159347.99907120204</v>
      </c>
      <c r="AP130" s="53"/>
    </row>
    <row r="131" spans="1:42" s="1" customFormat="1">
      <c r="A131" s="220" t="str">
        <f>Components!B131</f>
        <v>Golf Course</v>
      </c>
      <c r="B131" s="220" t="str">
        <f>Components!C131</f>
        <v>Waterfall Rebuild</v>
      </c>
      <c r="C131" s="211"/>
      <c r="D131" s="211"/>
      <c r="E131" s="82">
        <f>AnalysisYear-Components!I131-Components!J131</f>
        <v>4</v>
      </c>
      <c r="F131" s="82">
        <f>IF(H131&lt;0,Components!K131-MOD(AnalysisYear-Components!I131-Components!J131,Components!K131),AnalysisYear-Components!I131-Components!J131)</f>
        <v>4</v>
      </c>
      <c r="G131" s="11">
        <f>ROUND(Components!H131*IF(H131&lt;0,((1+InflationRate)^F131),((1+InflationRate)^H131)),0)</f>
        <v>82377</v>
      </c>
      <c r="H131" s="82">
        <f>IF(E131&gt;=0,Components!K131-E131,E131)</f>
        <v>16</v>
      </c>
      <c r="I131" s="82"/>
      <c r="J131" s="211"/>
      <c r="K131" s="29">
        <f>IF($H131&gt;0,FV(EarningsRate,F131,-'FF Deposit'!L131,1),Components!$H131)</f>
        <v>13854.766305744202</v>
      </c>
      <c r="L131" s="29">
        <f>'FF Deposit'!L131+IF(Components!M131&gt;0,K131-Components!M131,K131*(1+EarningsRate))</f>
        <v>17502.454308140543</v>
      </c>
      <c r="M131" s="29">
        <f>'FF Deposit'!M131+IF(Components!N131&gt;0,L131-Components!N131,L131*(1+EarningsRate))</f>
        <v>21226.743758587207</v>
      </c>
      <c r="N131" s="29">
        <f>'FF Deposit'!N131+IF(Components!O131&gt;0,M131-Components!O131,M131*(1+EarningsRate))</f>
        <v>25029.243287493249</v>
      </c>
      <c r="O131" s="29">
        <f>'FF Deposit'!O131+IF(Components!P131&gt;0,N131-Components!P131,N131*(1+EarningsRate))</f>
        <v>28911.595306506319</v>
      </c>
      <c r="P131" s="29">
        <f>'FF Deposit'!P131+IF(Components!Q131&gt;0,O131-Components!Q131,O131*(1+EarningsRate))</f>
        <v>32875.47671791866</v>
      </c>
      <c r="Q131" s="29">
        <f>'FF Deposit'!Q131+IF(Components!R131&gt;0,P131-Components!R131,P131*(1+EarningsRate))</f>
        <v>36922.599638970656</v>
      </c>
      <c r="R131" s="29">
        <f>'FF Deposit'!R131+IF(Components!S131&gt;0,Q131-Components!S131,Q131*(1+EarningsRate))</f>
        <v>41054.712141364755</v>
      </c>
      <c r="S131" s="29">
        <f>'FF Deposit'!S131+IF(Components!T131&gt;0,R131-Components!T131,R131*(1+EarningsRate))</f>
        <v>45273.59900630913</v>
      </c>
      <c r="T131" s="29">
        <f>'FF Deposit'!T131+IF(Components!U131&gt;0,S131-Components!U131,S131*(1+EarningsRate))</f>
        <v>49581.082495417329</v>
      </c>
      <c r="U131" s="29">
        <f>'FF Deposit'!U131+IF(Components!V131&gt;0,T131-Components!V131,T131*(1+EarningsRate))</f>
        <v>53979.023137796801</v>
      </c>
      <c r="V131" s="29">
        <f>'FF Deposit'!V131+IF(Components!W131&gt;0,U131-Components!W131,U131*(1+EarningsRate))</f>
        <v>58469.320533666236</v>
      </c>
      <c r="W131" s="29">
        <f>'FF Deposit'!W131+IF(Components!X131&gt;0,V131-Components!X131,V131*(1+EarningsRate))</f>
        <v>63053.914174848935</v>
      </c>
      <c r="X131" s="29">
        <f>'FF Deposit'!X131+IF(Components!Y131&gt;0,W131-Components!Y131,W131*(1+EarningsRate))</f>
        <v>67734.784282496475</v>
      </c>
      <c r="Y131" s="29">
        <f>'FF Deposit'!Y131+IF(Components!Z131&gt;0,X131-Components!Z131,X131*(1+EarningsRate))</f>
        <v>72513.952662404598</v>
      </c>
      <c r="Z131" s="29">
        <f>'FF Deposit'!Z131+IF(Components!AA131&gt;0,Y131-Components!AA131,Y131*(1+EarningsRate))</f>
        <v>77393.48357829079</v>
      </c>
      <c r="AA131" s="29">
        <f>'FF Deposit'!AA131+IF(Components!AB131&gt;0,Z131-Components!AB131,Z131*(1+EarningsRate))</f>
        <v>82375.4846434106</v>
      </c>
      <c r="AB131" s="29">
        <f>'FF Deposit'!AB131+IF(Components!AC131&gt;0,AA131-Components!AC131,AA131*(1+EarningsRate))</f>
        <v>6677.6843542538809</v>
      </c>
      <c r="AC131" s="29">
        <f>'FF Deposit'!AC131+IF(Components!AD131&gt;0,AB131-Components!AD131,AB131*(1+EarningsRate))</f>
        <v>13497.115436536493</v>
      </c>
      <c r="AD131" s="29">
        <f>'FF Deposit'!AD131+IF(Components!AE131&gt;0,AC131-Components!AE131,AC131*(1+EarningsRate))</f>
        <v>20459.754571547041</v>
      </c>
      <c r="AE131" s="29">
        <f>'FF Deposit'!AE131+IF(Components!AF131&gt;0,AD131-Components!AF131,AD131*(1+EarningsRate))</f>
        <v>27568.609128392807</v>
      </c>
      <c r="AF131" s="29">
        <f>'FF Deposit'!AF131+IF(Components!AG131&gt;0,AE131-Components!AG131,AE131*(1+EarningsRate))</f>
        <v>34826.749630932332</v>
      </c>
      <c r="AG131" s="29">
        <f>'FF Deposit'!AG131+IF(Components!AH131&gt;0,AF131-Components!AH131,AF131*(1+EarningsRate))</f>
        <v>42237.31108402519</v>
      </c>
      <c r="AH131" s="29">
        <f>'FF Deposit'!AH131+IF(Components!AI131&gt;0,AG131-Components!AI131,AG131*(1+EarningsRate))</f>
        <v>49803.494327633001</v>
      </c>
      <c r="AI131" s="29">
        <f>'FF Deposit'!AI131+IF(Components!AJ131&gt;0,AH131-Components!AJ131,AH131*(1+EarningsRate))</f>
        <v>57528.567419356565</v>
      </c>
      <c r="AJ131" s="29">
        <f>'FF Deposit'!AJ131+IF(Components!AK131&gt;0,AI131-Components!AK131,AI131*(1+EarningsRate))</f>
        <v>65415.867046006329</v>
      </c>
      <c r="AK131" s="29">
        <f>'FF Deposit'!AK131+IF(Components!AL131&gt;0,AJ131-Components!AL131,AJ131*(1+EarningsRate))</f>
        <v>73468.799964815742</v>
      </c>
      <c r="AL131" s="29">
        <f>'FF Deposit'!AL131+IF(Components!AM131&gt;0,AK131-Components!AM131,AK131*(1+EarningsRate))</f>
        <v>81690.844474920144</v>
      </c>
      <c r="AM131" s="29">
        <f>'FF Deposit'!AM131+IF(Components!AN131&gt;0,AL131-Components!AN131,AL131*(1+EarningsRate))</f>
        <v>90085.551919736739</v>
      </c>
      <c r="AN131" s="29">
        <f>'FF Deposit'!AN131+IF(Components!AO131&gt;0,AM131-Components!AO131,AM131*(1+EarningsRate))</f>
        <v>98656.548220894489</v>
      </c>
      <c r="AO131" s="29">
        <f>'FF Deposit'!AO131+IF(Components!AP131&gt;0,AN131-Components!AP131,AN131*(1+EarningsRate))</f>
        <v>107407.53544437655</v>
      </c>
      <c r="AP131" s="53"/>
    </row>
    <row r="132" spans="1:42" s="1" customFormat="1">
      <c r="A132" s="220" t="str">
        <f>Components!B132</f>
        <v>Golf Course</v>
      </c>
      <c r="B132" s="220" t="str">
        <f>Components!C132</f>
        <v>Well 150 hp: Pump &amp; Motor rebuild/replace</v>
      </c>
      <c r="C132" s="211"/>
      <c r="D132" s="211"/>
      <c r="E132" s="82">
        <f>AnalysisYear-Components!I132-Components!J132</f>
        <v>4</v>
      </c>
      <c r="F132" s="82">
        <f>IF(H132&lt;0,Components!K132-MOD(AnalysisYear-Components!I132-Components!J132,Components!K132),AnalysisYear-Components!I132-Components!J132)</f>
        <v>4</v>
      </c>
      <c r="G132" s="11">
        <f>ROUND(Components!H132*IF(H132&lt;0,((1+InflationRate)^F132),((1+InflationRate)^H132)),0)</f>
        <v>143349</v>
      </c>
      <c r="H132" s="82">
        <f>IF(E132&gt;=0,Components!K132-E132,E132)</f>
        <v>11</v>
      </c>
      <c r="I132" s="82"/>
      <c r="J132" s="211"/>
      <c r="K132" s="29">
        <f>IF($H132&gt;0,FV(EarningsRate,F132,-'FF Deposit'!L132,1),Components!$H132)</f>
        <v>33968.459336583554</v>
      </c>
      <c r="L132" s="29">
        <f>'FF Deposit'!L132+IF(Components!M132&gt;0,K132-Components!M132,K132*(1+EarningsRate))</f>
        <v>42911.305696411131</v>
      </c>
      <c r="M132" s="29">
        <f>'FF Deposit'!M132+IF(Components!N132&gt;0,L132-Components!N132,L132*(1+EarningsRate))</f>
        <v>52041.951829795085</v>
      </c>
      <c r="N132" s="29">
        <f>'FF Deposit'!N132+IF(Components!O132&gt;0,M132-Components!O132,M132*(1+EarningsRate))</f>
        <v>61364.341531980099</v>
      </c>
      <c r="O132" s="29">
        <f>'FF Deposit'!O132+IF(Components!P132&gt;0,N132-Components!P132,N132*(1+EarningsRate))</f>
        <v>70882.501417911</v>
      </c>
      <c r="P132" s="29">
        <f>'FF Deposit'!P132+IF(Components!Q132&gt;0,O132-Components!Q132,O132*(1+EarningsRate))</f>
        <v>80600.542661446452</v>
      </c>
      <c r="Q132" s="29">
        <f>'FF Deposit'!Q132+IF(Components!R132&gt;0,P132-Components!R132,P132*(1+EarningsRate))</f>
        <v>90522.662771096147</v>
      </c>
      <c r="R132" s="29">
        <f>'FF Deposit'!R132+IF(Components!S132&gt;0,Q132-Components!S132,Q132*(1+EarningsRate))</f>
        <v>100653.14740304848</v>
      </c>
      <c r="S132" s="29">
        <f>'FF Deposit'!S132+IF(Components!T132&gt;0,R132-Components!T132,R132*(1+EarningsRate))</f>
        <v>110996.37221227182</v>
      </c>
      <c r="T132" s="29">
        <f>'FF Deposit'!T132+IF(Components!U132&gt;0,S132-Components!U132,S132*(1+EarningsRate))</f>
        <v>121556.80474248884</v>
      </c>
      <c r="U132" s="29">
        <f>'FF Deposit'!U132+IF(Components!V132&gt;0,T132-Components!V132,T132*(1+EarningsRate))</f>
        <v>132339.00635584042</v>
      </c>
      <c r="V132" s="29">
        <f>'FF Deposit'!V132+IF(Components!W132&gt;0,U132-Components!W132,U132*(1+EarningsRate))</f>
        <v>143347.6342030724</v>
      </c>
      <c r="W132" s="29">
        <f>'FF Deposit'!W132+IF(Components!X132&gt;0,V132-Components!X132,V132*(1+EarningsRate))</f>
        <v>13785.932004333796</v>
      </c>
      <c r="X132" s="29">
        <f>'FF Deposit'!X132+IF(Components!Y132&gt;0,W132-Components!Y132,W132*(1+EarningsRate))</f>
        <v>27862.734377686196</v>
      </c>
      <c r="Y132" s="29">
        <f>'FF Deposit'!Y132+IF(Components!Z132&gt;0,X132-Components!Z132,X132*(1+EarningsRate))</f>
        <v>42235.149600878998</v>
      </c>
      <c r="Z132" s="29">
        <f>'FF Deposit'!Z132+IF(Components!AA132&gt;0,Y132-Components!AA132,Y132*(1+EarningsRate))</f>
        <v>56909.385543758843</v>
      </c>
      <c r="AA132" s="29">
        <f>'FF Deposit'!AA132+IF(Components!AB132&gt;0,Z132-Components!AB132,Z132*(1+EarningsRate))</f>
        <v>71891.780441439172</v>
      </c>
      <c r="AB132" s="29">
        <f>'FF Deposit'!AB132+IF(Components!AC132&gt;0,AA132-Components!AC132,AA132*(1+EarningsRate))</f>
        <v>87188.805631970783</v>
      </c>
      <c r="AC132" s="29">
        <f>'FF Deposit'!AC132+IF(Components!AD132&gt;0,AB132-Components!AD132,AB132*(1+EarningsRate))</f>
        <v>102807.06835150355</v>
      </c>
      <c r="AD132" s="29">
        <f>'FF Deposit'!AD132+IF(Components!AE132&gt;0,AC132-Components!AE132,AC132*(1+EarningsRate))</f>
        <v>118753.3145881465</v>
      </c>
      <c r="AE132" s="29">
        <f>'FF Deposit'!AE132+IF(Components!AF132&gt;0,AD132-Components!AF132,AD132*(1+EarningsRate))</f>
        <v>135034.43199575896</v>
      </c>
      <c r="AF132" s="29">
        <f>'FF Deposit'!AF132+IF(Components!AG132&gt;0,AE132-Components!AG132,AE132*(1+EarningsRate))</f>
        <v>151657.45286893129</v>
      </c>
      <c r="AG132" s="29">
        <f>'FF Deposit'!AG132+IF(Components!AH132&gt;0,AF132-Components!AH132,AF132*(1+EarningsRate))</f>
        <v>168629.55718044023</v>
      </c>
      <c r="AH132" s="29">
        <f>'FF Deposit'!AH132+IF(Components!AI132&gt;0,AG132-Components!AI132,AG132*(1+EarningsRate))</f>
        <v>185958.07568249086</v>
      </c>
      <c r="AI132" s="29">
        <f>'FF Deposit'!AI132+IF(Components!AJ132&gt;0,AH132-Components!AJ132,AH132*(1+EarningsRate))</f>
        <v>203650.49307308454</v>
      </c>
      <c r="AJ132" s="29">
        <f>'FF Deposit'!AJ132+IF(Components!AK132&gt;0,AI132-Components!AK132,AI132*(1+EarningsRate))</f>
        <v>221714.45122888067</v>
      </c>
      <c r="AK132" s="29">
        <f>'FF Deposit'!AK132+IF(Components!AL132&gt;0,AJ132-Components!AL132,AJ132*(1+EarningsRate))</f>
        <v>240157.75250594853</v>
      </c>
      <c r="AL132" s="29">
        <f>'FF Deposit'!AL132+IF(Components!AM132&gt;0,AK132-Components!AM132,AK132*(1+EarningsRate))</f>
        <v>23097.230016451813</v>
      </c>
      <c r="AM132" s="29">
        <f>'FF Deposit'!AM132+IF(Components!AN132&gt;0,AL132-Components!AN132,AL132*(1+EarningsRate))</f>
        <v>46680.749357300578</v>
      </c>
      <c r="AN132" s="29">
        <f>'FF Deposit'!AN132+IF(Components!AO132&gt;0,AM132-Components!AO132,AM132*(1+EarningsRate))</f>
        <v>70759.52260430716</v>
      </c>
      <c r="AO132" s="29">
        <f>'FF Deposit'!AO132+IF(Components!AP132&gt;0,AN132-Components!AP132,AN132*(1+EarningsRate))</f>
        <v>95343.950089500882</v>
      </c>
      <c r="AP132" s="53"/>
    </row>
    <row r="133" spans="1:42" s="1" customFormat="1">
      <c r="A133" s="220" t="str">
        <f>Components!B133</f>
        <v>Golf Course</v>
      </c>
      <c r="B133" s="220" t="str">
        <f>Components!C133</f>
        <v>Well Rehab</v>
      </c>
      <c r="C133" s="211"/>
      <c r="D133" s="211"/>
      <c r="E133" s="82">
        <f>AnalysisYear-Components!I133-Components!J133</f>
        <v>4</v>
      </c>
      <c r="F133" s="82">
        <f>IF(H133&lt;0,Components!K133-MOD(AnalysisYear-Components!I133-Components!J133,Components!K133),AnalysisYear-Components!I133-Components!J133)</f>
        <v>4</v>
      </c>
      <c r="G133" s="11">
        <f>ROUND(Components!H133*IF(H133&lt;0,((1+InflationRate)^F133),((1+InflationRate)^H133)),0)</f>
        <v>180494</v>
      </c>
      <c r="H133" s="82">
        <f>IF(E133&gt;=0,Components!K133-E133,E133)</f>
        <v>16</v>
      </c>
      <c r="I133" s="82"/>
      <c r="J133" s="211"/>
      <c r="K133" s="29">
        <f>IF($H133&gt;0,FV(EarningsRate,F133,-'FF Deposit'!L133,1),Components!$H133)</f>
        <v>30358.095241248211</v>
      </c>
      <c r="L133" s="29">
        <f>'FF Deposit'!L133+IF(Components!M133&gt;0,K133-Components!M133,K133*(1+EarningsRate))</f>
        <v>38350.472207738982</v>
      </c>
      <c r="M133" s="29">
        <f>'FF Deposit'!M133+IF(Components!N133&gt;0,L133-Components!N133,L133*(1+EarningsRate))</f>
        <v>46510.689090526066</v>
      </c>
      <c r="N133" s="29">
        <f>'FF Deposit'!N133+IF(Components!O133&gt;0,M133-Components!O133,M133*(1+EarningsRate))</f>
        <v>54842.270527851666</v>
      </c>
      <c r="O133" s="29">
        <f>'FF Deposit'!O133+IF(Components!P133&gt;0,N133-Components!P133,N133*(1+EarningsRate))</f>
        <v>63348.815175361102</v>
      </c>
      <c r="P133" s="29">
        <f>'FF Deposit'!P133+IF(Components!Q133&gt;0,O133-Components!Q133,O133*(1+EarningsRate))</f>
        <v>72033.997260468241</v>
      </c>
      <c r="Q133" s="29">
        <f>'FF Deposit'!Q133+IF(Components!R133&gt;0,P133-Components!R133,P133*(1+EarningsRate))</f>
        <v>80901.568169362625</v>
      </c>
      <c r="R133" s="29">
        <f>'FF Deposit'!R133+IF(Components!S133&gt;0,Q133-Components!S133,Q133*(1+EarningsRate))</f>
        <v>89955.358067343797</v>
      </c>
      <c r="S133" s="29">
        <f>'FF Deposit'!S133+IF(Components!T133&gt;0,R133-Components!T133,R133*(1+EarningsRate))</f>
        <v>99199.277553182561</v>
      </c>
      <c r="T133" s="29">
        <f>'FF Deposit'!T133+IF(Components!U133&gt;0,S133-Components!U133,S133*(1+EarningsRate))</f>
        <v>108637.31934822394</v>
      </c>
      <c r="U133" s="29">
        <f>'FF Deposit'!U133+IF(Components!V133&gt;0,T133-Components!V133,T133*(1+EarningsRate))</f>
        <v>118273.5600209612</v>
      </c>
      <c r="V133" s="29">
        <f>'FF Deposit'!V133+IF(Components!W133&gt;0,U133-Components!W133,U133*(1+EarningsRate))</f>
        <v>128112.16174782593</v>
      </c>
      <c r="W133" s="29">
        <f>'FF Deposit'!W133+IF(Components!X133&gt;0,V133-Components!X133,V133*(1+EarningsRate))</f>
        <v>138157.37411095481</v>
      </c>
      <c r="X133" s="29">
        <f>'FF Deposit'!X133+IF(Components!Y133&gt;0,W133-Components!Y133,W133*(1+EarningsRate))</f>
        <v>148413.53593370941</v>
      </c>
      <c r="Y133" s="29">
        <f>'FF Deposit'!Y133+IF(Components!Z133&gt;0,X133-Components!Z133,X133*(1+EarningsRate))</f>
        <v>158885.07715474186</v>
      </c>
      <c r="Z133" s="29">
        <f>'FF Deposit'!Z133+IF(Components!AA133&gt;0,Y133-Components!AA133,Y133*(1+EarningsRate))</f>
        <v>169576.52074141597</v>
      </c>
      <c r="AA133" s="29">
        <f>'FF Deposit'!AA133+IF(Components!AB133&gt;0,Z133-Components!AB133,Z133*(1+EarningsRate))</f>
        <v>180492.48464341025</v>
      </c>
      <c r="AB133" s="29">
        <f>'FF Deposit'!AB133+IF(Components!AC133&gt;0,AA133-Components!AC133,AA133*(1+EarningsRate))</f>
        <v>14633.097127586021</v>
      </c>
      <c r="AC133" s="29">
        <f>'FF Deposit'!AC133+IF(Components!AD133&gt;0,AB133-Components!AD133,AB133*(1+EarningsRate))</f>
        <v>29575.004651441097</v>
      </c>
      <c r="AD133" s="29">
        <f>'FF Deposit'!AD133+IF(Components!AE133&gt;0,AC133-Components!AE133,AC133*(1+EarningsRate))</f>
        <v>44830.69223329713</v>
      </c>
      <c r="AE133" s="29">
        <f>'FF Deposit'!AE133+IF(Components!AF133&gt;0,AD133-Components!AF133,AD133*(1+EarningsRate))</f>
        <v>60406.749254372138</v>
      </c>
      <c r="AF133" s="29">
        <f>'FF Deposit'!AF133+IF(Components!AG133&gt;0,AE133-Components!AG133,AE133*(1+EarningsRate))</f>
        <v>76309.90347288971</v>
      </c>
      <c r="AG133" s="29">
        <f>'FF Deposit'!AG133+IF(Components!AH133&gt;0,AF133-Components!AH133,AF133*(1+EarningsRate))</f>
        <v>92547.023929996154</v>
      </c>
      <c r="AH133" s="29">
        <f>'FF Deposit'!AH133+IF(Components!AI133&gt;0,AG133-Components!AI133,AG133*(1+EarningsRate))</f>
        <v>109125.12391670184</v>
      </c>
      <c r="AI133" s="29">
        <f>'FF Deposit'!AI133+IF(Components!AJ133&gt;0,AH133-Components!AJ133,AH133*(1+EarningsRate))</f>
        <v>126051.36400312833</v>
      </c>
      <c r="AJ133" s="29">
        <f>'FF Deposit'!AJ133+IF(Components!AK133&gt;0,AI133-Components!AK133,AI133*(1+EarningsRate))</f>
        <v>143333.05513136979</v>
      </c>
      <c r="AK133" s="29">
        <f>'FF Deposit'!AK133+IF(Components!AL133&gt;0,AJ133-Components!AL133,AJ133*(1+EarningsRate))</f>
        <v>160977.66177330431</v>
      </c>
      <c r="AL133" s="29">
        <f>'FF Deposit'!AL133+IF(Components!AM133&gt;0,AK133-Components!AM133,AK133*(1+EarningsRate))</f>
        <v>178992.80515471945</v>
      </c>
      <c r="AM133" s="29">
        <f>'FF Deposit'!AM133+IF(Components!AN133&gt;0,AL133-Components!AN133,AL133*(1+EarningsRate))</f>
        <v>197386.2665471443</v>
      </c>
      <c r="AN133" s="29">
        <f>'FF Deposit'!AN133+IF(Components!AO133&gt;0,AM133-Components!AO133,AM133*(1+EarningsRate))</f>
        <v>216165.99062881008</v>
      </c>
      <c r="AO133" s="29">
        <f>'FF Deposit'!AO133+IF(Components!AP133&gt;0,AN133-Components!AP133,AN133*(1+EarningsRate))</f>
        <v>235340.08891619084</v>
      </c>
      <c r="AP133" s="53"/>
    </row>
    <row r="134" spans="1:42" s="1" customFormat="1">
      <c r="A134" s="220" t="str">
        <f>Components!B134</f>
        <v>Golf Equip</v>
      </c>
      <c r="B134" s="220" t="str">
        <f>Components!C134</f>
        <v>Aerifier, fairway</v>
      </c>
      <c r="C134" s="211"/>
      <c r="D134" s="211"/>
      <c r="E134" s="82">
        <f>AnalysisYear-Components!I134-Components!J134</f>
        <v>8</v>
      </c>
      <c r="F134" s="82">
        <f>IF(H134&lt;0,Components!K134-MOD(AnalysisYear-Components!I134-Components!J134,Components!K134),AnalysisYear-Components!I134-Components!J134)</f>
        <v>8</v>
      </c>
      <c r="G134" s="11">
        <f>ROUND(Components!H134*IF(H134&lt;0,((1+InflationRate)^F134),((1+InflationRate)^H134)),0)</f>
        <v>17158</v>
      </c>
      <c r="H134" s="82">
        <f>IF(E134&gt;=0,Components!K134-E134,E134)</f>
        <v>18</v>
      </c>
      <c r="I134" s="82"/>
      <c r="J134" s="211"/>
      <c r="K134" s="29">
        <f>IF($H134&gt;0,FV(EarningsRate,F134,-'FF Deposit'!L134,1),Components!$H134)</f>
        <v>4329.7481749061244</v>
      </c>
      <c r="L134" s="29">
        <f>'FF Deposit'!L134+IF(Components!M134&gt;0,K134-Components!M134,K134*(1+EarningsRate))</f>
        <v>4923.4884464394554</v>
      </c>
      <c r="M134" s="29">
        <f>'FF Deposit'!M134+IF(Components!N134&gt;0,L134-Components!N134,L134*(1+EarningsRate))</f>
        <v>5529.6972636749861</v>
      </c>
      <c r="N134" s="29">
        <f>'FF Deposit'!N134+IF(Components!O134&gt;0,M134-Components!O134,M134*(1+EarningsRate))</f>
        <v>6148.636466072463</v>
      </c>
      <c r="O134" s="29">
        <f>'FF Deposit'!O134+IF(Components!P134&gt;0,N134-Components!P134,N134*(1+EarningsRate))</f>
        <v>6780.573391720287</v>
      </c>
      <c r="P134" s="29">
        <f>'FF Deposit'!P134+IF(Components!Q134&gt;0,O134-Components!Q134,O134*(1+EarningsRate))</f>
        <v>7425.7809928067145</v>
      </c>
      <c r="Q134" s="29">
        <f>'FF Deposit'!Q134+IF(Components!R134&gt;0,P134-Components!R134,P134*(1+EarningsRate))</f>
        <v>8084.5379535159573</v>
      </c>
      <c r="R134" s="29">
        <f>'FF Deposit'!R134+IF(Components!S134&gt;0,Q134-Components!S134,Q134*(1+EarningsRate))</f>
        <v>8757.1288104000942</v>
      </c>
      <c r="S134" s="29">
        <f>'FF Deposit'!S134+IF(Components!T134&gt;0,R134-Components!T134,R134*(1+EarningsRate))</f>
        <v>9443.8440752787974</v>
      </c>
      <c r="T134" s="29">
        <f>'FF Deposit'!T134+IF(Components!U134&gt;0,S134-Components!U134,S134*(1+EarningsRate))</f>
        <v>10144.980360719954</v>
      </c>
      <c r="U134" s="29">
        <f>'FF Deposit'!U134+IF(Components!V134&gt;0,T134-Components!V134,T134*(1+EarningsRate))</f>
        <v>10860.840508155374</v>
      </c>
      <c r="V134" s="29">
        <f>'FF Deposit'!V134+IF(Components!W134&gt;0,U134-Components!W134,U134*(1+EarningsRate))</f>
        <v>11591.733718686939</v>
      </c>
      <c r="W134" s="29">
        <f>'FF Deposit'!W134+IF(Components!X134&gt;0,V134-Components!X134,V134*(1+EarningsRate))</f>
        <v>12337.975686639666</v>
      </c>
      <c r="X134" s="29">
        <f>'FF Deposit'!X134+IF(Components!Y134&gt;0,W134-Components!Y134,W134*(1+EarningsRate))</f>
        <v>13099.8887359194</v>
      </c>
      <c r="Y134" s="29">
        <f>'FF Deposit'!Y134+IF(Components!Z134&gt;0,X134-Components!Z134,X134*(1+EarningsRate))</f>
        <v>13877.801959234008</v>
      </c>
      <c r="Z134" s="29">
        <f>'FF Deposit'!Z134+IF(Components!AA134&gt;0,Y134-Components!AA134,Y134*(1+EarningsRate))</f>
        <v>14672.051360238223</v>
      </c>
      <c r="AA134" s="29">
        <f>'FF Deposit'!AA134+IF(Components!AB134&gt;0,Z134-Components!AB134,Z134*(1+EarningsRate))</f>
        <v>15482.979998663528</v>
      </c>
      <c r="AB134" s="29">
        <f>'FF Deposit'!AB134+IF(Components!AC134&gt;0,AA134-Components!AC134,AA134*(1+EarningsRate))</f>
        <v>16310.938138495763</v>
      </c>
      <c r="AC134" s="29">
        <f>'FF Deposit'!AC134+IF(Components!AD134&gt;0,AB134-Components!AD134,AB134*(1+EarningsRate))</f>
        <v>17156.283399264474</v>
      </c>
      <c r="AD134" s="29">
        <f>'FF Deposit'!AD134+IF(Components!AE134&gt;0,AC134-Components!AE134,AC134*(1+EarningsRate))</f>
        <v>1228.1494213605515</v>
      </c>
      <c r="AE134" s="29">
        <f>'FF Deposit'!AE134+IF(Components!AF134&gt;0,AD134-Components!AF134,AD134*(1+EarningsRate))</f>
        <v>2483.8065813052008</v>
      </c>
      <c r="AF134" s="29">
        <f>'FF Deposit'!AF134+IF(Components!AG134&gt;0,AE134-Components!AG134,AE134*(1+EarningsRate))</f>
        <v>3765.8325416086877</v>
      </c>
      <c r="AG134" s="29">
        <f>'FF Deposit'!AG134+IF(Components!AH134&gt;0,AF134-Components!AH134,AF134*(1+EarningsRate))</f>
        <v>5074.781047078548</v>
      </c>
      <c r="AH134" s="29">
        <f>'FF Deposit'!AH134+IF(Components!AI134&gt;0,AG134-Components!AI134,AG134*(1+EarningsRate))</f>
        <v>6411.2174711632742</v>
      </c>
      <c r="AI134" s="29">
        <f>'FF Deposit'!AI134+IF(Components!AJ134&gt;0,AH134-Components!AJ134,AH134*(1+EarningsRate))</f>
        <v>7775.7190601537804</v>
      </c>
      <c r="AJ134" s="29">
        <f>'FF Deposit'!AJ134+IF(Components!AK134&gt;0,AI134-Components!AK134,AI134*(1+EarningsRate))</f>
        <v>9168.8751825130876</v>
      </c>
      <c r="AK134" s="29">
        <f>'FF Deposit'!AK134+IF(Components!AL134&gt;0,AJ134-Components!AL134,AJ134*(1+EarningsRate))</f>
        <v>10591.287583441939</v>
      </c>
      <c r="AL134" s="29">
        <f>'FF Deposit'!AL134+IF(Components!AM134&gt;0,AK134-Components!AM134,AK134*(1+EarningsRate))</f>
        <v>12043.570644790296</v>
      </c>
      <c r="AM134" s="29">
        <f>'FF Deposit'!AM134+IF(Components!AN134&gt;0,AL134-Components!AN134,AL134*(1+EarningsRate))</f>
        <v>13526.351650426968</v>
      </c>
      <c r="AN134" s="29">
        <f>'FF Deposit'!AN134+IF(Components!AO134&gt;0,AM134-Components!AO134,AM134*(1+EarningsRate))</f>
        <v>15040.27105718201</v>
      </c>
      <c r="AO134" s="29">
        <f>'FF Deposit'!AO134+IF(Components!AP134&gt;0,AN134-Components!AP134,AN134*(1+EarningsRate))</f>
        <v>16585.98277147891</v>
      </c>
      <c r="AP134" s="53"/>
    </row>
    <row r="135" spans="1:42" s="1" customFormat="1">
      <c r="A135" s="220" t="str">
        <f>Components!B135</f>
        <v>Golf Equip</v>
      </c>
      <c r="B135" s="220" t="str">
        <f>Components!C135</f>
        <v>Aerifier, greens</v>
      </c>
      <c r="C135" s="211"/>
      <c r="D135" s="211"/>
      <c r="E135" s="82">
        <f>AnalysisYear-Components!I135-Components!J135</f>
        <v>14</v>
      </c>
      <c r="F135" s="82">
        <f>IF(H135&lt;0,Components!K135-MOD(AnalysisYear-Components!I135-Components!J135,Components!K135),AnalysisYear-Components!I135-Components!J135)</f>
        <v>14</v>
      </c>
      <c r="G135" s="11">
        <f>ROUND(Components!H135*IF(H135&lt;0,((1+InflationRate)^F135),((1+InflationRate)^H135)),0)</f>
        <v>34640</v>
      </c>
      <c r="H135" s="82">
        <f>IF(E135&gt;=0,Components!K135-E135,E135)</f>
        <v>3</v>
      </c>
      <c r="I135" s="82"/>
      <c r="J135" s="211"/>
      <c r="K135" s="29">
        <f>IF($H135&gt;0,FV(EarningsRate,F135,-'FF Deposit'!L135,1),Components!$H135)</f>
        <v>27603.982308521281</v>
      </c>
      <c r="L135" s="29">
        <f>'FF Deposit'!L135+IF(Components!M135&gt;0,K135-Components!M135,K135*(1+EarningsRate))</f>
        <v>29900.286996211988</v>
      </c>
      <c r="M135" s="29">
        <f>'FF Deposit'!M135+IF(Components!N135&gt;0,L135-Components!N135,L135*(1+EarningsRate))</f>
        <v>32244.814082344197</v>
      </c>
      <c r="N135" s="29">
        <f>'FF Deposit'!N135+IF(Components!O135&gt;0,M135-Components!O135,M135*(1+EarningsRate))</f>
        <v>34638.576237285182</v>
      </c>
      <c r="O135" s="29">
        <f>'FF Deposit'!O135+IF(Components!P135&gt;0,N135-Components!P135,N135*(1+EarningsRate))</f>
        <v>3079.3540829661674</v>
      </c>
      <c r="P135" s="29">
        <f>'FF Deposit'!P135+IF(Components!Q135&gt;0,O135-Components!Q135,O135*(1+EarningsRate))</f>
        <v>6224.7983643894422</v>
      </c>
      <c r="Q135" s="29">
        <f>'FF Deposit'!Q135+IF(Components!R135&gt;0,P135-Components!R135,P135*(1+EarningsRate))</f>
        <v>9436.2969757226056</v>
      </c>
      <c r="R135" s="29">
        <f>'FF Deposit'!R135+IF(Components!S135&gt;0,Q135-Components!S135,Q135*(1+EarningsRate))</f>
        <v>12715.237057893764</v>
      </c>
      <c r="S135" s="29">
        <f>'FF Deposit'!S135+IF(Components!T135&gt;0,R135-Components!T135,R135*(1+EarningsRate))</f>
        <v>16063.034881790516</v>
      </c>
      <c r="T135" s="29">
        <f>'FF Deposit'!T135+IF(Components!U135&gt;0,S135-Components!U135,S135*(1+EarningsRate))</f>
        <v>19481.136459989102</v>
      </c>
      <c r="U135" s="29">
        <f>'FF Deposit'!U135+IF(Components!V135&gt;0,T135-Components!V135,T135*(1+EarningsRate))</f>
        <v>22971.018171329859</v>
      </c>
      <c r="V135" s="29">
        <f>'FF Deposit'!V135+IF(Components!W135&gt;0,U135-Components!W135,U135*(1+EarningsRate))</f>
        <v>26534.18739860877</v>
      </c>
      <c r="W135" s="29">
        <f>'FF Deposit'!W135+IF(Components!X135&gt;0,V135-Components!X135,V135*(1+EarningsRate))</f>
        <v>30172.18317966054</v>
      </c>
      <c r="X135" s="29">
        <f>'FF Deposit'!X135+IF(Components!Y135&gt;0,W135-Components!Y135,W135*(1+EarningsRate))</f>
        <v>33886.57687211439</v>
      </c>
      <c r="Y135" s="29">
        <f>'FF Deposit'!Y135+IF(Components!Z135&gt;0,X135-Components!Z135,X135*(1+EarningsRate))</f>
        <v>37678.972832109772</v>
      </c>
      <c r="Z135" s="29">
        <f>'FF Deposit'!Z135+IF(Components!AA135&gt;0,Y135-Components!AA135,Y135*(1+EarningsRate))</f>
        <v>41551.009107265054</v>
      </c>
      <c r="AA135" s="29">
        <f>'FF Deposit'!AA135+IF(Components!AB135&gt;0,Z135-Components!AB135,Z135*(1+EarningsRate))</f>
        <v>45504.358144198603</v>
      </c>
      <c r="AB135" s="29">
        <f>'FF Deposit'!AB135+IF(Components!AC135&gt;0,AA135-Components!AC135,AA135*(1+EarningsRate))</f>
        <v>49540.727510907753</v>
      </c>
      <c r="AC135" s="29">
        <f>'FF Deposit'!AC135+IF(Components!AD135&gt;0,AB135-Components!AD135,AB135*(1+EarningsRate))</f>
        <v>53661.860634317796</v>
      </c>
      <c r="AD135" s="29">
        <f>'FF Deposit'!AD135+IF(Components!AE135&gt;0,AC135-Components!AE135,AC135*(1+EarningsRate))</f>
        <v>57869.537553319446</v>
      </c>
      <c r="AE135" s="29">
        <f>'FF Deposit'!AE135+IF(Components!AF135&gt;0,AD135-Components!AF135,AD135*(1+EarningsRate))</f>
        <v>62165.575687620134</v>
      </c>
      <c r="AF135" s="29">
        <f>'FF Deposit'!AF135+IF(Components!AG135&gt;0,AE135-Components!AG135,AE135*(1+EarningsRate))</f>
        <v>5526.6114009658468</v>
      </c>
      <c r="AG135" s="29">
        <f>'FF Deposit'!AG135+IF(Components!AH135&gt;0,AF135-Components!AH135,AF135*(1+EarningsRate))</f>
        <v>11171.705953731842</v>
      </c>
      <c r="AH135" s="29">
        <f>'FF Deposit'!AH135+IF(Components!AI135&gt;0,AG135-Components!AI135,AG135*(1+EarningsRate))</f>
        <v>16935.347492105924</v>
      </c>
      <c r="AI135" s="29">
        <f>'FF Deposit'!AI135+IF(Components!AJ135&gt;0,AH135-Components!AJ135,AH135*(1+EarningsRate))</f>
        <v>22820.025502785858</v>
      </c>
      <c r="AJ135" s="29">
        <f>'FF Deposit'!AJ135+IF(Components!AK135&gt;0,AI135-Components!AK135,AI135*(1+EarningsRate))</f>
        <v>28828.281751690069</v>
      </c>
      <c r="AK135" s="29">
        <f>'FF Deposit'!AK135+IF(Components!AL135&gt;0,AJ135-Components!AL135,AJ135*(1+EarningsRate))</f>
        <v>34962.711381821267</v>
      </c>
      <c r="AL135" s="29">
        <f>'FF Deposit'!AL135+IF(Components!AM135&gt;0,AK135-Components!AM135,AK135*(1+EarningsRate))</f>
        <v>41225.964034185228</v>
      </c>
      <c r="AM135" s="29">
        <f>'FF Deposit'!AM135+IF(Components!AN135&gt;0,AL135-Components!AN135,AL135*(1+EarningsRate))</f>
        <v>47620.74499224883</v>
      </c>
      <c r="AN135" s="29">
        <f>'FF Deposit'!AN135+IF(Components!AO135&gt;0,AM135-Components!AO135,AM135*(1+EarningsRate))</f>
        <v>54149.816350431764</v>
      </c>
      <c r="AO135" s="29">
        <f>'FF Deposit'!AO135+IF(Components!AP135&gt;0,AN135-Components!AP135,AN135*(1+EarningsRate))</f>
        <v>60815.998207136538</v>
      </c>
      <c r="AP135" s="53"/>
    </row>
    <row r="136" spans="1:42" s="1" customFormat="1">
      <c r="A136" s="220" t="str">
        <f>Components!B136</f>
        <v>Golf Equip</v>
      </c>
      <c r="B136" s="220" t="str">
        <f>Components!C136</f>
        <v>Bedknife Grinder</v>
      </c>
      <c r="C136" s="211"/>
      <c r="D136" s="211"/>
      <c r="E136" s="82">
        <f>AnalysisYear-Components!I136-Components!J136</f>
        <v>1</v>
      </c>
      <c r="F136" s="82">
        <f>IF(H136&lt;0,Components!K136-MOD(AnalysisYear-Components!I136-Components!J136,Components!K136),AnalysisYear-Components!I136-Components!J136)</f>
        <v>1</v>
      </c>
      <c r="G136" s="11">
        <f>ROUND(Components!H136*IF(H136&lt;0,((1+InflationRate)^F136),((1+InflationRate)^H136)),0)</f>
        <v>40343</v>
      </c>
      <c r="H136" s="82">
        <f>IF(E136&gt;=0,Components!K136-E136,E136)</f>
        <v>19</v>
      </c>
      <c r="I136" s="82"/>
      <c r="J136" s="211"/>
      <c r="K136" s="29">
        <f>IF($H136&gt;0,FV(EarningsRate,F136,-'FF Deposit'!L136,1),Components!$H136)</f>
        <v>1642.895111319295</v>
      </c>
      <c r="L136" s="29">
        <f>'FF Deposit'!L136+IF(Components!M136&gt;0,K136-Components!M136,K136*(1+EarningsRate))</f>
        <v>3321.3120199763025</v>
      </c>
      <c r="M136" s="29">
        <f>'FF Deposit'!M136+IF(Components!N136&gt;0,L136-Components!N136,L136*(1+EarningsRate))</f>
        <v>5034.9756837151072</v>
      </c>
      <c r="N136" s="29">
        <f>'FF Deposit'!N136+IF(Components!O136&gt;0,M136-Components!O136,M136*(1+EarningsRate))</f>
        <v>6784.626284392426</v>
      </c>
      <c r="O136" s="29">
        <f>'FF Deposit'!O136+IF(Components!P136&gt;0,N136-Components!P136,N136*(1+EarningsRate))</f>
        <v>8571.019547683969</v>
      </c>
      <c r="P136" s="29">
        <f>'FF Deposit'!P136+IF(Components!Q136&gt;0,O136-Components!Q136,O136*(1+EarningsRate))</f>
        <v>10394.927069504634</v>
      </c>
      <c r="Q136" s="29">
        <f>'FF Deposit'!Q136+IF(Components!R136&gt;0,P136-Components!R136,P136*(1+EarningsRate))</f>
        <v>12257.136649283533</v>
      </c>
      <c r="R136" s="29">
        <f>'FF Deposit'!R136+IF(Components!S136&gt;0,Q136-Components!S136,Q136*(1+EarningsRate))</f>
        <v>14158.452630237789</v>
      </c>
      <c r="S136" s="29">
        <f>'FF Deposit'!S136+IF(Components!T136&gt;0,R136-Components!T136,R136*(1+EarningsRate))</f>
        <v>16099.696246792084</v>
      </c>
      <c r="T136" s="29">
        <f>'FF Deposit'!T136+IF(Components!U136&gt;0,S136-Components!U136,S136*(1+EarningsRate))</f>
        <v>18081.70597929402</v>
      </c>
      <c r="U136" s="29">
        <f>'FF Deposit'!U136+IF(Components!V136&gt;0,T136-Components!V136,T136*(1+EarningsRate))</f>
        <v>20105.337916178498</v>
      </c>
      <c r="V136" s="29">
        <f>'FF Deposit'!V136+IF(Components!W136&gt;0,U136-Components!W136,U136*(1+EarningsRate))</f>
        <v>22171.466123737548</v>
      </c>
      <c r="W136" s="29">
        <f>'FF Deposit'!W136+IF(Components!X136&gt;0,V136-Components!X136,V136*(1+EarningsRate))</f>
        <v>24280.983023655339</v>
      </c>
      <c r="X136" s="29">
        <f>'FF Deposit'!X136+IF(Components!Y136&gt;0,W136-Components!Y136,W136*(1+EarningsRate))</f>
        <v>26434.799778471403</v>
      </c>
      <c r="Y136" s="29">
        <f>'FF Deposit'!Y136+IF(Components!Z136&gt;0,X136-Components!Z136,X136*(1+EarningsRate))</f>
        <v>28633.846685138604</v>
      </c>
      <c r="Z136" s="29">
        <f>'FF Deposit'!Z136+IF(Components!AA136&gt;0,Y136-Components!AA136,Y136*(1+EarningsRate))</f>
        <v>30879.073576845811</v>
      </c>
      <c r="AA136" s="29">
        <f>'FF Deposit'!AA136+IF(Components!AB136&gt;0,Z136-Components!AB136,Z136*(1+EarningsRate))</f>
        <v>33171.450233278869</v>
      </c>
      <c r="AB136" s="29">
        <f>'FF Deposit'!AB136+IF(Components!AC136&gt;0,AA136-Components!AC136,AA136*(1+EarningsRate))</f>
        <v>35511.96679949703</v>
      </c>
      <c r="AC136" s="29">
        <f>'FF Deposit'!AC136+IF(Components!AD136&gt;0,AB136-Components!AD136,AB136*(1+EarningsRate))</f>
        <v>37901.634213605765</v>
      </c>
      <c r="AD136" s="29">
        <f>'FF Deposit'!AD136+IF(Components!AE136&gt;0,AC136-Components!AE136,AC136*(1+EarningsRate))</f>
        <v>40341.484643410789</v>
      </c>
      <c r="AE136" s="29">
        <f>'FF Deposit'!AE136+IF(Components!AF136&gt;0,AD136-Components!AF136,AD136*(1+EarningsRate))</f>
        <v>3269.5306141860119</v>
      </c>
      <c r="AF136" s="29">
        <f>'FF Deposit'!AF136+IF(Components!AG136&gt;0,AE136-Components!AG136,AE136*(1+EarningsRate))</f>
        <v>6609.236727859141</v>
      </c>
      <c r="AG136" s="29">
        <f>'FF Deposit'!AG136+IF(Components!AH136&gt;0,AF136-Components!AH136,AF136*(1+EarningsRate))</f>
        <v>10019.076669919405</v>
      </c>
      <c r="AH136" s="29">
        <f>'FF Deposit'!AH136+IF(Components!AI136&gt;0,AG136-Components!AI136,AG136*(1+EarningsRate))</f>
        <v>13500.523250762933</v>
      </c>
      <c r="AI136" s="29">
        <f>'FF Deposit'!AI136+IF(Components!AJ136&gt;0,AH136-Components!AJ136,AH136*(1+EarningsRate))</f>
        <v>17055.080209804175</v>
      </c>
      <c r="AJ136" s="29">
        <f>'FF Deposit'!AJ136+IF(Components!AK136&gt;0,AI136-Components!AK136,AI136*(1+EarningsRate))</f>
        <v>20684.282864985285</v>
      </c>
      <c r="AK136" s="29">
        <f>'FF Deposit'!AK136+IF(Components!AL136&gt;0,AJ136-Components!AL136,AJ136*(1+EarningsRate))</f>
        <v>24389.698775925197</v>
      </c>
      <c r="AL136" s="29">
        <f>'FF Deposit'!AL136+IF(Components!AM136&gt;0,AK136-Components!AM136,AK136*(1+EarningsRate))</f>
        <v>28172.928420994846</v>
      </c>
      <c r="AM136" s="29">
        <f>'FF Deposit'!AM136+IF(Components!AN136&gt;0,AL136-Components!AN136,AL136*(1+EarningsRate))</f>
        <v>32035.605888610957</v>
      </c>
      <c r="AN136" s="29">
        <f>'FF Deposit'!AN136+IF(Components!AO136&gt;0,AM136-Components!AO136,AM136*(1+EarningsRate))</f>
        <v>35979.399583047008</v>
      </c>
      <c r="AO136" s="29">
        <f>'FF Deposit'!AO136+IF(Components!AP136&gt;0,AN136-Components!AP136,AN136*(1+EarningsRate))</f>
        <v>40006.012945066213</v>
      </c>
      <c r="AP136" s="53"/>
    </row>
    <row r="137" spans="1:42" s="1" customFormat="1">
      <c r="A137" s="220" t="str">
        <f>Components!B137</f>
        <v>Golf Equip</v>
      </c>
      <c r="B137" s="220" t="str">
        <f>Components!C137</f>
        <v>Blower</v>
      </c>
      <c r="C137" s="211"/>
      <c r="D137" s="211"/>
      <c r="E137" s="82">
        <f>AnalysisYear-Components!I137-Components!J137</f>
        <v>5</v>
      </c>
      <c r="F137" s="82">
        <f>IF(H137&lt;0,Components!K137-MOD(AnalysisYear-Components!I137-Components!J137,Components!K137),AnalysisYear-Components!I137-Components!J137)</f>
        <v>5</v>
      </c>
      <c r="G137" s="11">
        <f>ROUND(Components!H137*IF(H137&lt;0,((1+InflationRate)^F137),((1+InflationRate)^H137)),0)</f>
        <v>11680</v>
      </c>
      <c r="H137" s="82">
        <f>IF(E137&gt;=0,Components!K137-E137,E137)</f>
        <v>10</v>
      </c>
      <c r="I137" s="82"/>
      <c r="J137" s="211"/>
      <c r="K137" s="29">
        <f>IF($H137&gt;0,FV(EarningsRate,F137,-'FF Deposit'!L137,1),Components!$H137)</f>
        <v>3495.3711801711329</v>
      </c>
      <c r="L137" s="29">
        <f>'FF Deposit'!L137+IF(Components!M137&gt;0,K137-Components!M137,K137*(1+EarningsRate))</f>
        <v>4239.3099520226442</v>
      </c>
      <c r="M137" s="29">
        <f>'FF Deposit'!M137+IF(Components!N137&gt;0,L137-Components!N137,L137*(1+EarningsRate))</f>
        <v>4998.871438083037</v>
      </c>
      <c r="N137" s="29">
        <f>'FF Deposit'!N137+IF(Components!O137&gt;0,M137-Components!O137,M137*(1+EarningsRate))</f>
        <v>5774.3837153506975</v>
      </c>
      <c r="O137" s="29">
        <f>'FF Deposit'!O137+IF(Components!P137&gt;0,N137-Components!P137,N137*(1+EarningsRate))</f>
        <v>6566.1817504409792</v>
      </c>
      <c r="P137" s="29">
        <f>'FF Deposit'!P137+IF(Components!Q137&gt;0,O137-Components!Q137,O137*(1+EarningsRate))</f>
        <v>7374.6075442681558</v>
      </c>
      <c r="Q137" s="29">
        <f>'FF Deposit'!Q137+IF(Components!R137&gt;0,P137-Components!R137,P137*(1+EarningsRate))</f>
        <v>8200.0102797657037</v>
      </c>
      <c r="R137" s="29">
        <f>'FF Deposit'!R137+IF(Components!S137&gt;0,Q137-Components!S137,Q137*(1+EarningsRate))</f>
        <v>9042.746472708699</v>
      </c>
      <c r="S137" s="29">
        <f>'FF Deposit'!S137+IF(Components!T137&gt;0,R137-Components!T137,R137*(1+EarningsRate))</f>
        <v>9903.1801257034986</v>
      </c>
      <c r="T137" s="29">
        <f>'FF Deposit'!T137+IF(Components!U137&gt;0,S137-Components!U137,S137*(1+EarningsRate))</f>
        <v>10781.682885411188</v>
      </c>
      <c r="U137" s="29">
        <f>'FF Deposit'!U137+IF(Components!V137&gt;0,T137-Components!V137,T137*(1+EarningsRate))</f>
        <v>11678.634203072739</v>
      </c>
      <c r="V137" s="29">
        <f>'FF Deposit'!V137+IF(Components!W137&gt;0,U137-Components!W137,U137*(1+EarningsRate))</f>
        <v>1122.0158682307315</v>
      </c>
      <c r="W137" s="29">
        <f>'FF Deposit'!W137+IF(Components!X137&gt;0,V137-Components!X137,V137*(1+EarningsRate))</f>
        <v>2268.9598666215688</v>
      </c>
      <c r="X137" s="29">
        <f>'FF Deposit'!X137+IF(Components!Y137&gt;0,W137-Components!Y137,W137*(1+EarningsRate))</f>
        <v>3439.9896889786137</v>
      </c>
      <c r="Y137" s="29">
        <f>'FF Deposit'!Y137+IF(Components!Z137&gt;0,X137-Components!Z137,X137*(1+EarningsRate))</f>
        <v>4635.6111376051567</v>
      </c>
      <c r="Z137" s="29">
        <f>'FF Deposit'!Z137+IF(Components!AA137&gt;0,Y137-Components!AA137,Y137*(1+EarningsRate))</f>
        <v>5856.3406366528561</v>
      </c>
      <c r="AA137" s="29">
        <f>'FF Deposit'!AA137+IF(Components!AB137&gt;0,Z137-Components!AB137,Z137*(1+EarningsRate))</f>
        <v>7102.7054551805577</v>
      </c>
      <c r="AB137" s="29">
        <f>'FF Deposit'!AB137+IF(Components!AC137&gt;0,AA137-Components!AC137,AA137*(1+EarningsRate))</f>
        <v>8375.2439348973403</v>
      </c>
      <c r="AC137" s="29">
        <f>'FF Deposit'!AC137+IF(Components!AD137&gt;0,AB137-Components!AD137,AB137*(1+EarningsRate))</f>
        <v>9674.5057226881763</v>
      </c>
      <c r="AD137" s="29">
        <f>'FF Deposit'!AD137+IF(Components!AE137&gt;0,AC137-Components!AE137,AC137*(1+EarningsRate))</f>
        <v>11001.05200802262</v>
      </c>
      <c r="AE137" s="29">
        <f>'FF Deposit'!AE137+IF(Components!AF137&gt;0,AD137-Components!AF137,AD137*(1+EarningsRate))</f>
        <v>12355.455765349087</v>
      </c>
      <c r="AF137" s="29">
        <f>'FF Deposit'!AF137+IF(Components!AG137&gt;0,AE137-Components!AG137,AE137*(1+EarningsRate))</f>
        <v>13738.302001579408</v>
      </c>
      <c r="AG137" s="29">
        <f>'FF Deposit'!AG137+IF(Components!AH137&gt;0,AF137-Components!AH137,AF137*(1+EarningsRate))</f>
        <v>15150.188008770567</v>
      </c>
      <c r="AH137" s="29">
        <f>'FF Deposit'!AH137+IF(Components!AI137&gt;0,AG137-Components!AI137,AG137*(1+EarningsRate))</f>
        <v>16591.723622112739</v>
      </c>
      <c r="AI137" s="29">
        <f>'FF Deposit'!AI137+IF(Components!AJ137&gt;0,AH137-Components!AJ137,AH137*(1+EarningsRate))</f>
        <v>18063.531483335097</v>
      </c>
      <c r="AJ137" s="29">
        <f>'FF Deposit'!AJ137+IF(Components!AK137&gt;0,AI137-Components!AK137,AI137*(1+EarningsRate))</f>
        <v>19566.247309643124</v>
      </c>
      <c r="AK137" s="29">
        <f>'FF Deposit'!AK137+IF(Components!AL137&gt;0,AJ137-Components!AL137,AJ137*(1+EarningsRate))</f>
        <v>1880.2963185311032</v>
      </c>
      <c r="AL137" s="29">
        <f>'FF Deposit'!AL137+IF(Components!AM137&gt;0,AK137-Components!AM137,AK137*(1+EarningsRate))</f>
        <v>3801.8315501082352</v>
      </c>
      <c r="AM137" s="29">
        <f>'FF Deposit'!AM137+IF(Components!AN137&gt;0,AL137-Components!AN137,AL137*(1+EarningsRate))</f>
        <v>5763.719021548487</v>
      </c>
      <c r="AN137" s="29">
        <f>'FF Deposit'!AN137+IF(Components!AO137&gt;0,AM137-Components!AO137,AM137*(1+EarningsRate))</f>
        <v>7766.8061298889843</v>
      </c>
      <c r="AO137" s="29">
        <f>'FF Deposit'!AO137+IF(Components!AP137&gt;0,AN137-Components!AP137,AN137*(1+EarningsRate))</f>
        <v>9811.9580675046309</v>
      </c>
      <c r="AP137" s="53"/>
    </row>
    <row r="138" spans="1:42" s="1" customFormat="1">
      <c r="A138" s="220" t="str">
        <f>Components!B138</f>
        <v>Golf Equip</v>
      </c>
      <c r="B138" s="220" t="str">
        <f>Components!C138</f>
        <v>Cart Washer</v>
      </c>
      <c r="C138" s="211"/>
      <c r="D138" s="211"/>
      <c r="E138" s="82">
        <f>AnalysisYear-Components!I138-Components!J138</f>
        <v>13</v>
      </c>
      <c r="F138" s="82">
        <f>IF(H138&lt;0,Components!K138-MOD(AnalysisYear-Components!I138-Components!J138,Components!K138),AnalysisYear-Components!I138-Components!J138)</f>
        <v>13</v>
      </c>
      <c r="G138" s="11">
        <f>ROUND(Components!H138*IF(H138&lt;0,((1+InflationRate)^F138),((1+InflationRate)^H138)),0)</f>
        <v>5382</v>
      </c>
      <c r="H138" s="82">
        <f>IF(E138&gt;=0,Components!K138-E138,E138)</f>
        <v>0</v>
      </c>
      <c r="I138" s="82"/>
      <c r="J138" s="211"/>
      <c r="K138" s="29">
        <f>IF($H138&gt;0,FV(EarningsRate,F138,-'FF Deposit'!L138,1),Components!$H138)</f>
        <v>5382</v>
      </c>
      <c r="L138" s="29">
        <f>'FF Deposit'!L138+IF(Components!M138&gt;0,K138-Components!M138,K138*(1+EarningsRate))</f>
        <v>569.84690459444812</v>
      </c>
      <c r="M138" s="29">
        <f>'FF Deposit'!M138+IF(Components!N138&gt;0,L138-Components!N138,L138*(1+EarningsRate))</f>
        <v>1151.6605941853795</v>
      </c>
      <c r="N138" s="29">
        <f>'FF Deposit'!N138+IF(Components!O138&gt;0,M138-Components!O138,M138*(1+EarningsRate))</f>
        <v>1745.6923712577204</v>
      </c>
      <c r="O138" s="29">
        <f>'FF Deposit'!O138+IF(Components!P138&gt;0,N138-Components!P138,N138*(1+EarningsRate))</f>
        <v>2352.1988156485804</v>
      </c>
      <c r="P138" s="29">
        <f>'FF Deposit'!P138+IF(Components!Q138&gt;0,O138-Components!Q138,O138*(1+EarningsRate))</f>
        <v>2971.4418953716486</v>
      </c>
      <c r="Q138" s="29">
        <f>'FF Deposit'!Q138+IF(Components!R138&gt;0,P138-Components!R138,P138*(1+EarningsRate))</f>
        <v>3603.6890797689011</v>
      </c>
      <c r="R138" s="29">
        <f>'FF Deposit'!R138+IF(Components!S138&gt;0,Q138-Components!S138,Q138*(1+EarningsRate))</f>
        <v>4249.2134550384962</v>
      </c>
      <c r="S138" s="29">
        <f>'FF Deposit'!S138+IF(Components!T138&gt;0,R138-Components!T138,R138*(1+EarningsRate))</f>
        <v>4908.2938421887529</v>
      </c>
      <c r="T138" s="29">
        <f>'FF Deposit'!T138+IF(Components!U138&gt;0,S138-Components!U138,S138*(1+EarningsRate))</f>
        <v>5581.2149174691649</v>
      </c>
      <c r="U138" s="29">
        <f>'FF Deposit'!U138+IF(Components!V138&gt;0,T138-Components!V138,T138*(1+EarningsRate))</f>
        <v>6268.2673353304654</v>
      </c>
      <c r="V138" s="29">
        <f>'FF Deposit'!V138+IF(Components!W138&gt;0,U138-Components!W138,U138*(1+EarningsRate))</f>
        <v>6969.7478539668527</v>
      </c>
      <c r="W138" s="29">
        <f>'FF Deposit'!W138+IF(Components!X138&gt;0,V138-Components!X138,V138*(1+EarningsRate))</f>
        <v>7685.9594634946043</v>
      </c>
      <c r="X138" s="29">
        <f>'FF Deposit'!X138+IF(Components!Y138&gt;0,W138-Components!Y138,W138*(1+EarningsRate))</f>
        <v>8417.2115168224391</v>
      </c>
      <c r="Y138" s="29">
        <f>'FF Deposit'!Y138+IF(Components!Z138&gt;0,X138-Components!Z138,X138*(1+EarningsRate))</f>
        <v>891.40464130617556</v>
      </c>
      <c r="Z138" s="29">
        <f>'FF Deposit'!Z138+IF(Components!AA138&gt;0,Y138-Components!AA138,Y138*(1+EarningsRate))</f>
        <v>1801.3172632573417</v>
      </c>
      <c r="AA138" s="29">
        <f>'FF Deposit'!AA138+IF(Components!AB138&gt;0,Z138-Components!AB138,Z138*(1+EarningsRate))</f>
        <v>2730.3380502694822</v>
      </c>
      <c r="AB138" s="29">
        <f>'FF Deposit'!AB138+IF(Components!AC138&gt;0,AA138-Components!AC138,AA138*(1+EarningsRate))</f>
        <v>3678.8682738088773</v>
      </c>
      <c r="AC138" s="29">
        <f>'FF Deposit'!AC138+IF(Components!AD138&gt;0,AB138-Components!AD138,AB138*(1+EarningsRate))</f>
        <v>4647.3176320426001</v>
      </c>
      <c r="AD138" s="29">
        <f>'FF Deposit'!AD138+IF(Components!AE138&gt;0,AC138-Components!AE138,AC138*(1+EarningsRate))</f>
        <v>5636.1044267992311</v>
      </c>
      <c r="AE138" s="29">
        <f>'FF Deposit'!AE138+IF(Components!AF138&gt;0,AD138-Components!AF138,AD138*(1+EarningsRate))</f>
        <v>6645.6557442457506</v>
      </c>
      <c r="AF138" s="29">
        <f>'FF Deposit'!AF138+IF(Components!AG138&gt;0,AE138-Components!AG138,AE138*(1+EarningsRate))</f>
        <v>7676.4076393586474</v>
      </c>
      <c r="AG138" s="29">
        <f>'FF Deposit'!AG138+IF(Components!AH138&gt;0,AF138-Components!AH138,AF138*(1+EarningsRate))</f>
        <v>8728.8053242689148</v>
      </c>
      <c r="AH138" s="29">
        <f>'FF Deposit'!AH138+IF(Components!AI138&gt;0,AG138-Components!AI138,AG138*(1+EarningsRate))</f>
        <v>9803.3033605622968</v>
      </c>
      <c r="AI138" s="29">
        <f>'FF Deposit'!AI138+IF(Components!AJ138&gt;0,AH138-Components!AJ138,AH138*(1+EarningsRate))</f>
        <v>10900.36585561784</v>
      </c>
      <c r="AJ138" s="29">
        <f>'FF Deposit'!AJ138+IF(Components!AK138&gt;0,AI138-Components!AK138,AI138*(1+EarningsRate))</f>
        <v>12020.46666306955</v>
      </c>
      <c r="AK138" s="29">
        <f>'FF Deposit'!AK138+IF(Components!AL138&gt;0,AJ138-Components!AL138,AJ138*(1+EarningsRate))</f>
        <v>13164.089587477745</v>
      </c>
      <c r="AL138" s="29">
        <f>'FF Deposit'!AL138+IF(Components!AM138&gt;0,AK138-Components!AM138,AK138*(1+EarningsRate))</f>
        <v>1393.8957287042992</v>
      </c>
      <c r="AM138" s="29">
        <f>'FF Deposit'!AM138+IF(Components!AN138&gt;0,AL138-Components!AN138,AL138*(1+EarningsRate))</f>
        <v>2816.9736802336433</v>
      </c>
      <c r="AN138" s="29">
        <f>'FF Deposit'!AN138+IF(Components!AO138&gt;0,AM138-Components!AO138,AM138*(1+EarningsRate))</f>
        <v>4269.9362687451039</v>
      </c>
      <c r="AO138" s="29">
        <f>'FF Deposit'!AO138+IF(Components!AP138&gt;0,AN138-Components!AP138,AN138*(1+EarningsRate))</f>
        <v>5753.4110716153045</v>
      </c>
      <c r="AP138" s="53"/>
    </row>
    <row r="139" spans="1:42" s="1" customFormat="1">
      <c r="A139" s="220" t="str">
        <f>Components!B139</f>
        <v>Golf Equip</v>
      </c>
      <c r="B139" s="220" t="str">
        <f>Components!C139</f>
        <v>Digger, Trencher</v>
      </c>
      <c r="C139" s="211"/>
      <c r="D139" s="211"/>
      <c r="E139" s="82">
        <f>AnalysisYear-Components!I139-Components!J139</f>
        <v>5</v>
      </c>
      <c r="F139" s="82">
        <f>IF(H139&lt;0,Components!K139-MOD(AnalysisYear-Components!I139-Components!J139,Components!K139),AnalysisYear-Components!I139-Components!J139)</f>
        <v>5</v>
      </c>
      <c r="G139" s="11">
        <f>ROUND(Components!H139*IF(H139&lt;0,((1+InflationRate)^F139),((1+InflationRate)^H139)),0)</f>
        <v>23502</v>
      </c>
      <c r="H139" s="82">
        <f>IF(E139&gt;=0,Components!K139-E139,E139)</f>
        <v>15</v>
      </c>
      <c r="I139" s="82"/>
      <c r="J139" s="211"/>
      <c r="K139" s="29">
        <f>IF($H139&gt;0,FV(EarningsRate,F139,-'FF Deposit'!L139,1),Components!$H139)</f>
        <v>4992.6236586215082</v>
      </c>
      <c r="L139" s="29">
        <f>'FF Deposit'!L139+IF(Components!M139&gt;0,K139-Components!M139,K139*(1+EarningsRate))</f>
        <v>6055.1396388332259</v>
      </c>
      <c r="M139" s="29">
        <f>'FF Deposit'!M139+IF(Components!N139&gt;0,L139-Components!N139,L139*(1+EarningsRate))</f>
        <v>7139.9684546293902</v>
      </c>
      <c r="N139" s="29">
        <f>'FF Deposit'!N139+IF(Components!O139&gt;0,M139-Components!O139,M139*(1+EarningsRate))</f>
        <v>8247.5786755572735</v>
      </c>
      <c r="O139" s="29">
        <f>'FF Deposit'!O139+IF(Components!P139&gt;0,N139-Components!P139,N139*(1+EarningsRate))</f>
        <v>9378.4487111246417</v>
      </c>
      <c r="P139" s="29">
        <f>'FF Deposit'!P139+IF(Components!Q139&gt;0,O139-Components!Q139,O139*(1+EarningsRate))</f>
        <v>10533.067017438927</v>
      </c>
      <c r="Q139" s="29">
        <f>'FF Deposit'!Q139+IF(Components!R139&gt;0,P139-Components!R139,P139*(1+EarningsRate))</f>
        <v>11711.932308185809</v>
      </c>
      <c r="R139" s="29">
        <f>'FF Deposit'!R139+IF(Components!S139&gt;0,Q139-Components!S139,Q139*(1+EarningsRate))</f>
        <v>12915.553770038376</v>
      </c>
      <c r="S139" s="29">
        <f>'FF Deposit'!S139+IF(Components!T139&gt;0,R139-Components!T139,R139*(1+EarningsRate))</f>
        <v>14144.451282589846</v>
      </c>
      <c r="T139" s="29">
        <f>'FF Deposit'!T139+IF(Components!U139&gt;0,S139-Components!U139,S139*(1+EarningsRate))</f>
        <v>15399.155642904898</v>
      </c>
      <c r="U139" s="29">
        <f>'FF Deposit'!U139+IF(Components!V139&gt;0,T139-Components!V139,T139*(1+EarningsRate))</f>
        <v>16680.208794786566</v>
      </c>
      <c r="V139" s="29">
        <f>'FF Deposit'!V139+IF(Components!W139&gt;0,U139-Components!W139,U139*(1+EarningsRate))</f>
        <v>17988.164062857748</v>
      </c>
      <c r="W139" s="29">
        <f>'FF Deposit'!W139+IF(Components!X139&gt;0,V139-Components!X139,V139*(1+EarningsRate))</f>
        <v>19323.586391558427</v>
      </c>
      <c r="X139" s="29">
        <f>'FF Deposit'!X139+IF(Components!Y139&gt;0,W139-Components!Y139,W139*(1+EarningsRate))</f>
        <v>20687.052589161816</v>
      </c>
      <c r="Y139" s="29">
        <f>'FF Deposit'!Y139+IF(Components!Z139&gt;0,X139-Components!Z139,X139*(1+EarningsRate))</f>
        <v>22079.151576914879</v>
      </c>
      <c r="Z139" s="29">
        <f>'FF Deposit'!Z139+IF(Components!AA139&gt;0,Y139-Components!AA139,Y139*(1+EarningsRate))</f>
        <v>23500.484643410757</v>
      </c>
      <c r="AA139" s="29">
        <f>'FF Deposit'!AA139+IF(Components!AB139&gt;0,Z139-Components!AB139,Z139*(1+EarningsRate))</f>
        <v>1904.0475020271035</v>
      </c>
      <c r="AB139" s="29">
        <f>'FF Deposit'!AB139+IF(Components!AC139&gt;0,AA139-Components!AC139,AA139*(1+EarningsRate))</f>
        <v>3849.5953581860194</v>
      </c>
      <c r="AC139" s="29">
        <f>'FF Deposit'!AC139+IF(Components!AD139&gt;0,AB139-Components!AD139,AB139*(1+EarningsRate))</f>
        <v>5835.9997193242725</v>
      </c>
      <c r="AD139" s="29">
        <f>'FF Deposit'!AD139+IF(Components!AE139&gt;0,AC139-Components!AE139,AC139*(1+EarningsRate))</f>
        <v>7864.1185720464282</v>
      </c>
      <c r="AE139" s="29">
        <f>'FF Deposit'!AE139+IF(Components!AF139&gt;0,AD139-Components!AF139,AD139*(1+EarningsRate))</f>
        <v>9934.8279206757488</v>
      </c>
      <c r="AF139" s="29">
        <f>'FF Deposit'!AF139+IF(Components!AG139&gt;0,AE139-Components!AG139,AE139*(1+EarningsRate))</f>
        <v>12049.022165626286</v>
      </c>
      <c r="AG139" s="29">
        <f>'FF Deposit'!AG139+IF(Components!AH139&gt;0,AF139-Components!AH139,AF139*(1+EarningsRate))</f>
        <v>14207.614489720783</v>
      </c>
      <c r="AH139" s="29">
        <f>'FF Deposit'!AH139+IF(Components!AI139&gt;0,AG139-Components!AI139,AG139*(1+EarningsRate))</f>
        <v>16411.537252621263</v>
      </c>
      <c r="AI139" s="29">
        <f>'FF Deposit'!AI139+IF(Components!AJ139&gt;0,AH139-Components!AJ139,AH139*(1+EarningsRate))</f>
        <v>18661.742393542656</v>
      </c>
      <c r="AJ139" s="29">
        <f>'FF Deposit'!AJ139+IF(Components!AK139&gt;0,AI139-Components!AK139,AI139*(1+EarningsRate))</f>
        <v>20959.201842423397</v>
      </c>
      <c r="AK139" s="29">
        <f>'FF Deposit'!AK139+IF(Components!AL139&gt;0,AJ139-Components!AL139,AJ139*(1+EarningsRate))</f>
        <v>23304.907939730634</v>
      </c>
      <c r="AL139" s="29">
        <f>'FF Deposit'!AL139+IF(Components!AM139&gt;0,AK139-Components!AM139,AK139*(1+EarningsRate))</f>
        <v>25699.873865081321</v>
      </c>
      <c r="AM139" s="29">
        <f>'FF Deposit'!AM139+IF(Components!AN139&gt;0,AL139-Components!AN139,AL139*(1+EarningsRate))</f>
        <v>28145.134074864374</v>
      </c>
      <c r="AN139" s="29">
        <f>'FF Deposit'!AN139+IF(Components!AO139&gt;0,AM139-Components!AO139,AM139*(1+EarningsRate))</f>
        <v>30641.744749052872</v>
      </c>
      <c r="AO139" s="29">
        <f>'FF Deposit'!AO139+IF(Components!AP139&gt;0,AN139-Components!AP139,AN139*(1+EarningsRate))</f>
        <v>33190.784247399322</v>
      </c>
      <c r="AP139" s="53"/>
    </row>
    <row r="140" spans="1:42" s="1" customFormat="1">
      <c r="A140" s="220" t="str">
        <f>Components!B140</f>
        <v>Golf Equip</v>
      </c>
      <c r="B140" s="220" t="str">
        <f>Components!C140</f>
        <v>Dresser, top</v>
      </c>
      <c r="C140" s="211"/>
      <c r="D140" s="211"/>
      <c r="E140" s="82">
        <f>AnalysisYear-Components!I140-Components!J140</f>
        <v>7</v>
      </c>
      <c r="F140" s="82">
        <f>IF(H140&lt;0,Components!K140-MOD(AnalysisYear-Components!I140-Components!J140,Components!K140),AnalysisYear-Components!I140-Components!J140)</f>
        <v>7</v>
      </c>
      <c r="G140" s="11">
        <f>ROUND(Components!H140*IF(H140&lt;0,((1+InflationRate)^F140),((1+InflationRate)^H140)),0)</f>
        <v>20432</v>
      </c>
      <c r="H140" s="82">
        <f>IF(E140&gt;=0,Components!K140-E140,E140)</f>
        <v>17</v>
      </c>
      <c r="I140" s="82"/>
      <c r="J140" s="211"/>
      <c r="K140" s="29">
        <f>IF($H140&gt;0,FV(EarningsRate,F140,-'FF Deposit'!L140,1),Components!$H140)</f>
        <v>4946.1543026816835</v>
      </c>
      <c r="L140" s="29">
        <f>'FF Deposit'!L140+IF(Components!M140&gt;0,K140-Components!M140,K140*(1+EarningsRate))</f>
        <v>5713.4898125599402</v>
      </c>
      <c r="M140" s="29">
        <f>'FF Deposit'!M140+IF(Components!N140&gt;0,L140-Components!N140,L140*(1+EarningsRate))</f>
        <v>6496.9393681456404</v>
      </c>
      <c r="N140" s="29">
        <f>'FF Deposit'!N140+IF(Components!O140&gt;0,M140-Components!O140,M140*(1+EarningsRate))</f>
        <v>7296.8413643986405</v>
      </c>
      <c r="O140" s="29">
        <f>'FF Deposit'!O140+IF(Components!P140&gt;0,N140-Components!P140,N140*(1+EarningsRate))</f>
        <v>8113.5413025729531</v>
      </c>
      <c r="P140" s="29">
        <f>'FF Deposit'!P140+IF(Components!Q140&gt;0,O140-Components!Q140,O140*(1+EarningsRate))</f>
        <v>8947.3919394489276</v>
      </c>
      <c r="Q140" s="29">
        <f>'FF Deposit'!Q140+IF(Components!R140&gt;0,P140-Components!R140,P140*(1+EarningsRate))</f>
        <v>9798.7534396992978</v>
      </c>
      <c r="R140" s="29">
        <f>'FF Deposit'!R140+IF(Components!S140&gt;0,Q140-Components!S140,Q140*(1+EarningsRate))</f>
        <v>10667.993531454926</v>
      </c>
      <c r="S140" s="29">
        <f>'FF Deposit'!S140+IF(Components!T140&gt;0,R140-Components!T140,R140*(1+EarningsRate))</f>
        <v>11555.487665137422</v>
      </c>
      <c r="T140" s="29">
        <f>'FF Deposit'!T140+IF(Components!U140&gt;0,S140-Components!U140,S140*(1+EarningsRate))</f>
        <v>12461.619175627249</v>
      </c>
      <c r="U140" s="29">
        <f>'FF Deposit'!U140+IF(Components!V140&gt;0,T140-Components!V140,T140*(1+EarningsRate))</f>
        <v>13386.779447837363</v>
      </c>
      <c r="V140" s="29">
        <f>'FF Deposit'!V140+IF(Components!W140&gt;0,U140-Components!W140,U140*(1+EarningsRate))</f>
        <v>14331.36808576389</v>
      </c>
      <c r="W140" s="29">
        <f>'FF Deposit'!W140+IF(Components!X140&gt;0,V140-Components!X140,V140*(1+EarningsRate))</f>
        <v>15295.793085086874</v>
      </c>
      <c r="X140" s="29">
        <f>'FF Deposit'!X140+IF(Components!Y140&gt;0,W140-Components!Y140,W140*(1+EarningsRate))</f>
        <v>16280.47100939564</v>
      </c>
      <c r="Y140" s="29">
        <f>'FF Deposit'!Y140+IF(Components!Z140&gt;0,X140-Components!Z140,X140*(1+EarningsRate))</f>
        <v>17285.827170114888</v>
      </c>
      <c r="Z140" s="29">
        <f>'FF Deposit'!Z140+IF(Components!AA140&gt;0,Y140-Components!AA140,Y140*(1+EarningsRate))</f>
        <v>18312.295810209242</v>
      </c>
      <c r="AA140" s="29">
        <f>'FF Deposit'!AA140+IF(Components!AB140&gt;0,Z140-Components!AB140,Z140*(1+EarningsRate))</f>
        <v>19360.320291745575</v>
      </c>
      <c r="AB140" s="29">
        <f>'FF Deposit'!AB140+IF(Components!AC140&gt;0,AA140-Components!AC140,AA140*(1+EarningsRate))</f>
        <v>20430.353287394169</v>
      </c>
      <c r="AC140" s="29">
        <f>'FF Deposit'!AC140+IF(Components!AD140&gt;0,AB140-Components!AD140,AB140*(1+EarningsRate))</f>
        <v>1513.2647208995745</v>
      </c>
      <c r="AD140" s="29">
        <f>'FF Deposit'!AD140+IF(Components!AE140&gt;0,AC140-Components!AE140,AC140*(1+EarningsRate))</f>
        <v>3059.9547135438706</v>
      </c>
      <c r="AE140" s="29">
        <f>'FF Deposit'!AE140+IF(Components!AF140&gt;0,AD140-Components!AF140,AD140*(1+EarningsRate))</f>
        <v>4639.1251960336967</v>
      </c>
      <c r="AF140" s="29">
        <f>'FF Deposit'!AF140+IF(Components!AG140&gt;0,AE140-Components!AG140,AE140*(1+EarningsRate))</f>
        <v>6251.4582586558081</v>
      </c>
      <c r="AG140" s="29">
        <f>'FF Deposit'!AG140+IF(Components!AH140&gt;0,AF140-Components!AH140,AF140*(1+EarningsRate))</f>
        <v>7897.650315592984</v>
      </c>
      <c r="AH140" s="29">
        <f>'FF Deposit'!AH140+IF(Components!AI140&gt;0,AG140-Components!AI140,AG140*(1+EarningsRate))</f>
        <v>9578.4124057258414</v>
      </c>
      <c r="AI140" s="29">
        <f>'FF Deposit'!AI140+IF(Components!AJ140&gt;0,AH140-Components!AJ140,AH140*(1+EarningsRate))</f>
        <v>11294.470499751489</v>
      </c>
      <c r="AJ140" s="29">
        <f>'FF Deposit'!AJ140+IF(Components!AK140&gt;0,AI140-Components!AK140,AI140*(1+EarningsRate))</f>
        <v>13046.565813751675</v>
      </c>
      <c r="AK140" s="29">
        <f>'FF Deposit'!AK140+IF(Components!AL140&gt;0,AJ140-Components!AL140,AJ140*(1+EarningsRate))</f>
        <v>14835.455129345864</v>
      </c>
      <c r="AL140" s="29">
        <f>'FF Deposit'!AL140+IF(Components!AM140&gt;0,AK140-Components!AM140,AK140*(1+EarningsRate))</f>
        <v>16661.911120567529</v>
      </c>
      <c r="AM140" s="29">
        <f>'FF Deposit'!AM140+IF(Components!AN140&gt;0,AL140-Components!AN140,AL140*(1+EarningsRate))</f>
        <v>18526.722687604848</v>
      </c>
      <c r="AN140" s="29">
        <f>'FF Deposit'!AN140+IF(Components!AO140&gt;0,AM140-Components!AO140,AM140*(1+EarningsRate))</f>
        <v>20430.695297549952</v>
      </c>
      <c r="AO140" s="29">
        <f>'FF Deposit'!AO140+IF(Components!AP140&gt;0,AN140-Components!AP140,AN140*(1+EarningsRate))</f>
        <v>22374.651332303903</v>
      </c>
      <c r="AP140" s="53"/>
    </row>
    <row r="141" spans="1:42" s="1" customFormat="1">
      <c r="A141" s="220" t="str">
        <f>Components!B141</f>
        <v>Golf Equip</v>
      </c>
      <c r="B141" s="220" t="str">
        <f>Components!C141</f>
        <v>Golf cart Electric</v>
      </c>
      <c r="C141" s="211"/>
      <c r="D141" s="211"/>
      <c r="E141" s="82">
        <f>AnalysisYear-Components!I141-Components!J141</f>
        <v>8</v>
      </c>
      <c r="F141" s="82">
        <f>IF(H141&lt;0,Components!K141-MOD(AnalysisYear-Components!I141-Components!J141,Components!K141),AnalysisYear-Components!I141-Components!J141)</f>
        <v>8</v>
      </c>
      <c r="G141" s="11">
        <f>ROUND(Components!H141*IF(H141&lt;0,((1+InflationRate)^F141),((1+InflationRate)^H141)),0)</f>
        <v>240388</v>
      </c>
      <c r="H141" s="82">
        <f>IF(E141&gt;=0,Components!K141-E141,E141)</f>
        <v>4</v>
      </c>
      <c r="I141" s="82"/>
      <c r="J141" s="211"/>
      <c r="K141" s="29">
        <f>IF($H141&gt;0,FV(EarningsRate,F141,-'FF Deposit'!L141,1),Components!$H141)</f>
        <v>153511.85099800743</v>
      </c>
      <c r="L141" s="29">
        <f>'FF Deposit'!L141+IF(Components!M141&gt;0,K141-Components!M141,K141*(1+EarningsRate))</f>
        <v>174558.27488465799</v>
      </c>
      <c r="M141" s="29">
        <f>'FF Deposit'!M141+IF(Components!N141&gt;0,L141-Components!N141,L141*(1+EarningsRate))</f>
        <v>196046.67367292821</v>
      </c>
      <c r="N141" s="29">
        <f>'FF Deposit'!N141+IF(Components!O141&gt;0,M141-Components!O141,M141*(1+EarningsRate))</f>
        <v>217986.32883575212</v>
      </c>
      <c r="O141" s="29">
        <f>'FF Deposit'!O141+IF(Components!P141&gt;0,N141-Components!P141,N141*(1+EarningsRate))</f>
        <v>240386.71675699533</v>
      </c>
      <c r="P141" s="29">
        <f>'FF Deposit'!P141+IF(Components!Q141&gt;0,O141-Components!Q141,O141*(1+EarningsRate))</f>
        <v>26930.002363278225</v>
      </c>
      <c r="Q141" s="29">
        <f>'FF Deposit'!Q141+IF(Components!R141&gt;0,P141-Components!R141,P141*(1+EarningsRate))</f>
        <v>54426.818019189959</v>
      </c>
      <c r="R141" s="29">
        <f>'FF Deposit'!R141+IF(Components!S141&gt;0,Q141-Components!S141,Q141*(1+EarningsRate))</f>
        <v>82501.066803875845</v>
      </c>
      <c r="S141" s="29">
        <f>'FF Deposit'!S141+IF(Components!T141&gt;0,R141-Components!T141,R141*(1+EarningsRate))</f>
        <v>111164.87481304012</v>
      </c>
      <c r="T141" s="29">
        <f>'FF Deposit'!T141+IF(Components!U141&gt;0,S141-Components!U141,S141*(1+EarningsRate))</f>
        <v>140430.62279039685</v>
      </c>
      <c r="U141" s="29">
        <f>'FF Deposit'!U141+IF(Components!V141&gt;0,T141-Components!V141,T141*(1+EarningsRate))</f>
        <v>170310.95147527807</v>
      </c>
      <c r="V141" s="29">
        <f>'FF Deposit'!V141+IF(Components!W141&gt;0,U141-Components!W141,U141*(1+EarningsRate))</f>
        <v>200818.7670625418</v>
      </c>
      <c r="W141" s="29">
        <f>'FF Deposit'!W141+IF(Components!X141&gt;0,V141-Components!X141,V141*(1+EarningsRate))</f>
        <v>231967.24677713803</v>
      </c>
      <c r="X141" s="29">
        <f>'FF Deposit'!X141+IF(Components!Y141&gt;0,W141-Components!Y141,W141*(1+EarningsRate))</f>
        <v>263769.84456574079</v>
      </c>
      <c r="Y141" s="29">
        <f>'FF Deposit'!Y141+IF(Components!Z141&gt;0,X141-Components!Z141,X141*(1+EarningsRate))</f>
        <v>296240.29690790421</v>
      </c>
      <c r="Z141" s="29">
        <f>'FF Deposit'!Z141+IF(Components!AA141&gt;0,Y141-Components!AA141,Y141*(1+EarningsRate))</f>
        <v>329392.62874925305</v>
      </c>
      <c r="AA141" s="29">
        <f>'FF Deposit'!AA141+IF(Components!AB141&gt;0,Z141-Components!AB141,Z141*(1+EarningsRate))</f>
        <v>363241.15955927019</v>
      </c>
      <c r="AB141" s="29">
        <f>'FF Deposit'!AB141+IF(Components!AC141&gt;0,AA141-Components!AC141,AA141*(1+EarningsRate))</f>
        <v>40694.094606765953</v>
      </c>
      <c r="AC141" s="29">
        <f>'FF Deposit'!AC141+IF(Components!AD141&gt;0,AB141-Components!AD141,AB141*(1+EarningsRate))</f>
        <v>82243.605641003785</v>
      </c>
      <c r="AD141" s="29">
        <f>'FF Deposit'!AD141+IF(Components!AE141&gt;0,AC141-Components!AE141,AC141*(1+EarningsRate))</f>
        <v>124665.65640696062</v>
      </c>
      <c r="AE141" s="29">
        <f>'FF Deposit'!AE141+IF(Components!AF141&gt;0,AD141-Components!AF141,AD141*(1+EarningsRate))</f>
        <v>167978.57023900255</v>
      </c>
      <c r="AF141" s="29">
        <f>'FF Deposit'!AF141+IF(Components!AG141&gt;0,AE141-Components!AG141,AE141*(1+EarningsRate))</f>
        <v>212201.05526151735</v>
      </c>
      <c r="AG141" s="29">
        <f>'FF Deposit'!AG141+IF(Components!AH141&gt;0,AF141-Components!AH141,AF141*(1+EarningsRate))</f>
        <v>257352.21246950494</v>
      </c>
      <c r="AH141" s="29">
        <f>'FF Deposit'!AH141+IF(Components!AI141&gt;0,AG141-Components!AI141,AG141*(1+EarningsRate))</f>
        <v>303451.54397886031</v>
      </c>
      <c r="AI141" s="29">
        <f>'FF Deposit'!AI141+IF(Components!AJ141&gt;0,AH141-Components!AJ141,AH141*(1+EarningsRate))</f>
        <v>350518.96144991211</v>
      </c>
      <c r="AJ141" s="29">
        <f>'FF Deposit'!AJ141+IF(Components!AK141&gt;0,AI141-Components!AK141,AI141*(1+EarningsRate))</f>
        <v>398574.79468785599</v>
      </c>
      <c r="AK141" s="29">
        <f>'FF Deposit'!AK141+IF(Components!AL141&gt;0,AJ141-Components!AL141,AJ141*(1+EarningsRate))</f>
        <v>447639.8004237967</v>
      </c>
      <c r="AL141" s="29">
        <f>'FF Deposit'!AL141+IF(Components!AM141&gt;0,AK141-Components!AM141,AK141*(1+EarningsRate))</f>
        <v>497735.17128019215</v>
      </c>
      <c r="AM141" s="29">
        <f>'FF Deposit'!AM141+IF(Components!AN141&gt;0,AL141-Components!AN141,AL141*(1+EarningsRate))</f>
        <v>548882.54492457188</v>
      </c>
      <c r="AN141" s="29">
        <f>'FF Deposit'!AN141+IF(Components!AO141&gt;0,AM141-Components!AO141,AM141*(1+EarningsRate))</f>
        <v>61491.430462614451</v>
      </c>
      <c r="AO141" s="29">
        <f>'FF Deposit'!AO141+IF(Components!AP141&gt;0,AN141-Components!AP141,AN141*(1+EarningsRate))</f>
        <v>124275.63604037193</v>
      </c>
      <c r="AP141" s="53"/>
    </row>
    <row r="142" spans="1:42" s="1" customFormat="1">
      <c r="A142" s="220" t="str">
        <f>Components!B142</f>
        <v>Golf Equip</v>
      </c>
      <c r="B142" s="220" t="str">
        <f>Components!C142</f>
        <v>Golf cart Fleet Batteries (6 per cart)</v>
      </c>
      <c r="C142" s="211"/>
      <c r="D142" s="211"/>
      <c r="E142" s="82">
        <f>AnalysisYear-Components!I142-Components!J142</f>
        <v>4</v>
      </c>
      <c r="F142" s="82">
        <f>IF(H142&lt;0,Components!K142-MOD(AnalysisYear-Components!I142-Components!J142,Components!K142),AnalysisYear-Components!I142-Components!J142)</f>
        <v>4</v>
      </c>
      <c r="G142" s="11">
        <f>ROUND(Components!H142*IF(H142&lt;0,((1+InflationRate)^F142),((1+InflationRate)^H142)),0)</f>
        <v>43563</v>
      </c>
      <c r="H142" s="82">
        <f>IF(E142&gt;=0,Components!K142-E142,E142)</f>
        <v>0</v>
      </c>
      <c r="I142" s="82"/>
      <c r="J142" s="211"/>
      <c r="K142" s="29">
        <f>IF($H142&gt;0,FV(EarningsRate,F142,-'FF Deposit'!L142,1),Components!$H142)</f>
        <v>43563.149999999994</v>
      </c>
      <c r="L142" s="29">
        <f>'FF Deposit'!L142+IF(Components!M142&gt;0,K142-Components!M142,K142*(1+EarningsRate))</f>
        <v>12110.685466794581</v>
      </c>
      <c r="M142" s="29">
        <f>'FF Deposit'!M142+IF(Components!N142&gt;0,L142-Components!N142,L142*(1+EarningsRate))</f>
        <v>24475.545328391854</v>
      </c>
      <c r="N142" s="29">
        <f>'FF Deposit'!N142+IF(Components!O142&gt;0,M142-Components!O142,M142*(1+EarningsRate))</f>
        <v>37100.067247082668</v>
      </c>
      <c r="O142" s="29">
        <f>'FF Deposit'!O142+IF(Components!P142&gt;0,N142-Components!P142,N142*(1+EarningsRate))</f>
        <v>49989.70412606599</v>
      </c>
      <c r="P142" s="29">
        <f>'FF Deposit'!P142+IF(Components!Q142&gt;0,O142-Components!Q142,O142*(1+EarningsRate))</f>
        <v>13896.948759931001</v>
      </c>
      <c r="Q142" s="29">
        <f>'FF Deposit'!Q142+IF(Components!R142&gt;0,P142-Components!R142,P142*(1+EarningsRate))</f>
        <v>28086.029317754561</v>
      </c>
      <c r="R142" s="29">
        <f>'FF Deposit'!R142+IF(Components!S142&gt;0,Q142-Components!S142,Q142*(1+EarningsRate))</f>
        <v>42573.080567292418</v>
      </c>
      <c r="S142" s="29">
        <f>'FF Deposit'!S142+IF(Components!T142&gt;0,R142-Components!T142,R142*(1+EarningsRate))</f>
        <v>57364.359893070563</v>
      </c>
      <c r="T142" s="29">
        <f>'FF Deposit'!T142+IF(Components!U142&gt;0,S142-Components!U142,S142*(1+EarningsRate))</f>
        <v>15947.580160664735</v>
      </c>
      <c r="U142" s="29">
        <f>'FF Deposit'!U142+IF(Components!V142&gt;0,T142-Components!V142,T142*(1+EarningsRate))</f>
        <v>32229.699611632866</v>
      </c>
      <c r="V142" s="29">
        <f>'FF Deposit'!V142+IF(Components!W142&gt;0,U142-Components!W142,U142*(1+EarningsRate))</f>
        <v>48853.743571071325</v>
      </c>
      <c r="W142" s="29">
        <f>'FF Deposit'!W142+IF(Components!X142&gt;0,V142-Components!X142,V142*(1+EarningsRate))</f>
        <v>65826.892453657987</v>
      </c>
      <c r="X142" s="29">
        <f>'FF Deposit'!X142+IF(Components!Y142&gt;0,W142-Components!Y142,W142*(1+EarningsRate))</f>
        <v>18299.83089161422</v>
      </c>
      <c r="Y142" s="29">
        <f>'FF Deposit'!Y142+IF(Components!Z142&gt;0,X142-Components!Z142,X142*(1+EarningsRate))</f>
        <v>36984.065778294345</v>
      </c>
      <c r="Z142" s="29">
        <f>'FF Deposit'!Z142+IF(Components!AA142&gt;0,Y142-Components!AA142,Y142*(1+EarningsRate))</f>
        <v>56060.669597594759</v>
      </c>
      <c r="AA142" s="29">
        <f>'FF Deposit'!AA142+IF(Components!AB142&gt;0,Z142-Components!AB142,Z142*(1+EarningsRate))</f>
        <v>75537.882097100475</v>
      </c>
      <c r="AB142" s="29">
        <f>'FF Deposit'!AB142+IF(Components!AC142&gt;0,AA142-Components!AC142,AA142*(1+EarningsRate))</f>
        <v>20999.48332040304</v>
      </c>
      <c r="AC142" s="29">
        <f>'FF Deposit'!AC142+IF(Components!AD142&gt;0,AB142-Components!AD142,AB142*(1+EarningsRate))</f>
        <v>42440.073693434068</v>
      </c>
      <c r="AD142" s="29">
        <f>'FF Deposit'!AD142+IF(Components!AE142&gt;0,AC142-Components!AE142,AC142*(1+EarningsRate))</f>
        <v>64330.916464298745</v>
      </c>
      <c r="AE142" s="29">
        <f>'FF Deposit'!AE142+IF(Components!AF142&gt;0,AD142-Components!AF142,AD142*(1+EarningsRate))</f>
        <v>86681.466933351578</v>
      </c>
      <c r="AF142" s="29">
        <f>'FF Deposit'!AF142+IF(Components!AG142&gt;0,AE142-Components!AG142,AE142*(1+EarningsRate))</f>
        <v>24097.827647655497</v>
      </c>
      <c r="AG142" s="29">
        <f>'FF Deposit'!AG142+IF(Components!AH142&gt;0,AF142-Components!AH142,AF142*(1+EarningsRate))</f>
        <v>48701.242742560178</v>
      </c>
      <c r="AH142" s="29">
        <f>'FF Deposit'!AH142+IF(Components!AI142&gt;0,AG142-Components!AI142,AG142*(1+EarningsRate))</f>
        <v>73821.329554457858</v>
      </c>
      <c r="AI142" s="29">
        <f>'FF Deposit'!AI142+IF(Components!AJ142&gt;0,AH142-Components!AJ142,AH142*(1+EarningsRate))</f>
        <v>99468.938189405395</v>
      </c>
      <c r="AJ142" s="29">
        <f>'FF Deposit'!AJ142+IF(Components!AK142&gt;0,AI142-Components!AK142,AI142*(1+EarningsRate))</f>
        <v>27652.369205326955</v>
      </c>
      <c r="AK142" s="29">
        <f>'FF Deposit'!AK142+IF(Components!AL142&gt;0,AJ142-Components!AL142,AJ142*(1+EarningsRate))</f>
        <v>55885.499974560378</v>
      </c>
      <c r="AL142" s="29">
        <f>'FF Deposit'!AL142+IF(Components!AM142&gt;0,AK142-Components!AM142,AK142*(1+EarningsRate))</f>
        <v>84711.526489947704</v>
      </c>
      <c r="AM142" s="29">
        <f>'FF Deposit'!AM142+IF(Components!AN142&gt;0,AL142-Components!AN142,AL142*(1+EarningsRate))</f>
        <v>114142.89956215816</v>
      </c>
      <c r="AN142" s="29">
        <f>'FF Deposit'!AN142+IF(Components!AO142&gt;0,AM142-Components!AO142,AM142*(1+EarningsRate))</f>
        <v>31731.709809072618</v>
      </c>
      <c r="AO142" s="29">
        <f>'FF Deposit'!AO142+IF(Components!AP142&gt;0,AN142-Components!AP142,AN142*(1+EarningsRate))</f>
        <v>64129.885961977605</v>
      </c>
      <c r="AP142" s="53"/>
    </row>
    <row r="143" spans="1:42" s="1" customFormat="1">
      <c r="A143" s="220" t="str">
        <f>Components!B143</f>
        <v>Golf Equip</v>
      </c>
      <c r="B143" s="220" t="str">
        <f>Components!C143</f>
        <v>Golf equipment lift</v>
      </c>
      <c r="C143" s="211"/>
      <c r="D143" s="211"/>
      <c r="E143" s="82">
        <f>AnalysisYear-Components!I143-Components!J143</f>
        <v>1</v>
      </c>
      <c r="F143" s="82">
        <f>IF(H143&lt;0,Components!K143-MOD(AnalysisYear-Components!I143-Components!J143,Components!K143),AnalysisYear-Components!I143-Components!J143)</f>
        <v>1</v>
      </c>
      <c r="G143" s="11">
        <f>ROUND(Components!H143*IF(H143&lt;0,((1+InflationRate)^F143),((1+InflationRate)^H143)),0)</f>
        <v>19558</v>
      </c>
      <c r="H143" s="82">
        <f>IF(E143&gt;=0,Components!K143-E143,E143)</f>
        <v>19</v>
      </c>
      <c r="I143" s="82"/>
      <c r="J143" s="211"/>
      <c r="K143" s="29">
        <f>IF($H143&gt;0,FV(EarningsRate,F143,-'FF Deposit'!L143,1),Components!$H143)</f>
        <v>795.93786040162536</v>
      </c>
      <c r="L143" s="29">
        <f>'FF Deposit'!L143+IF(Components!M143&gt;0,K143-Components!M143,K143*(1+EarningsRate))</f>
        <v>1609.6114158716882</v>
      </c>
      <c r="M143" s="29">
        <f>'FF Deposit'!M143+IF(Components!N143&gt;0,L143-Components!N143,L143*(1+EarningsRate))</f>
        <v>2440.3721160066225</v>
      </c>
      <c r="N143" s="29">
        <f>'FF Deposit'!N143+IF(Components!O143&gt;0,M143-Components!O143,M143*(1+EarningsRate))</f>
        <v>3288.5787908443904</v>
      </c>
      <c r="O143" s="29">
        <f>'FF Deposit'!O143+IF(Components!P143&gt;0,N143-Components!P143,N143*(1+EarningsRate))</f>
        <v>4154.5978058537512</v>
      </c>
      <c r="P143" s="29">
        <f>'FF Deposit'!P143+IF(Components!Q143&gt;0,O143-Components!Q143,O143*(1+EarningsRate))</f>
        <v>5038.8032201783089</v>
      </c>
      <c r="Q143" s="29">
        <f>'FF Deposit'!Q143+IF(Components!R143&gt;0,P143-Components!R143,P143*(1+EarningsRate))</f>
        <v>5941.5769482036822</v>
      </c>
      <c r="R143" s="29">
        <f>'FF Deposit'!R143+IF(Components!S143&gt;0,Q143-Components!S143,Q143*(1+EarningsRate))</f>
        <v>6863.3089245175879</v>
      </c>
      <c r="S143" s="29">
        <f>'FF Deposit'!S143+IF(Components!T143&gt;0,R143-Components!T143,R143*(1+EarningsRate))</f>
        <v>7804.3972723340858</v>
      </c>
      <c r="T143" s="29">
        <f>'FF Deposit'!T143+IF(Components!U143&gt;0,S143-Components!U143,S143*(1+EarningsRate))</f>
        <v>8765.2484754547295</v>
      </c>
      <c r="U143" s="29">
        <f>'FF Deposit'!U143+IF(Components!V143&gt;0,T143-Components!V143,T143*(1+EarningsRate))</f>
        <v>9746.277553840906</v>
      </c>
      <c r="V143" s="29">
        <f>'FF Deposit'!V143+IF(Components!W143&gt;0,U143-Components!W143,U143*(1+EarningsRate))</f>
        <v>10747.908242873193</v>
      </c>
      <c r="W143" s="29">
        <f>'FF Deposit'!W143+IF(Components!X143&gt;0,V143-Components!X143,V143*(1+EarningsRate))</f>
        <v>11770.573176375157</v>
      </c>
      <c r="X143" s="29">
        <f>'FF Deposit'!X143+IF(Components!Y143&gt;0,W143-Components!Y143,W143*(1+EarningsRate))</f>
        <v>12814.714073480664</v>
      </c>
      <c r="Y143" s="29">
        <f>'FF Deposit'!Y143+IF(Components!Z143&gt;0,X143-Components!Z143,X143*(1+EarningsRate))</f>
        <v>13880.781929425384</v>
      </c>
      <c r="Z143" s="29">
        <f>'FF Deposit'!Z143+IF(Components!AA143&gt;0,Y143-Components!AA143,Y143*(1+EarningsRate))</f>
        <v>14969.237210344943</v>
      </c>
      <c r="AA143" s="29">
        <f>'FF Deposit'!AA143+IF(Components!AB143&gt;0,Z143-Components!AB143,Z143*(1+EarningsRate))</f>
        <v>16080.550052163813</v>
      </c>
      <c r="AB143" s="29">
        <f>'FF Deposit'!AB143+IF(Components!AC143&gt;0,AA143-Components!AC143,AA143*(1+EarningsRate))</f>
        <v>17215.20046366088</v>
      </c>
      <c r="AC143" s="29">
        <f>'FF Deposit'!AC143+IF(Components!AD143&gt;0,AB143-Components!AD143,AB143*(1+EarningsRate))</f>
        <v>18373.678533799386</v>
      </c>
      <c r="AD143" s="29">
        <f>'FF Deposit'!AD143+IF(Components!AE143&gt;0,AC143-Components!AE143,AC143*(1+EarningsRate))</f>
        <v>19556.4846434108</v>
      </c>
      <c r="AE143" s="29">
        <f>'FF Deposit'!AE143+IF(Components!AF143&gt;0,AD143-Components!AF143,AD143*(1+EarningsRate))</f>
        <v>1584.2645084783908</v>
      </c>
      <c r="AF143" s="29">
        <f>'FF Deposit'!AF143+IF(Components!AG143&gt;0,AE143-Components!AG143,AE143*(1+EarningsRate))</f>
        <v>3203.3139282240272</v>
      </c>
      <c r="AG143" s="29">
        <f>'FF Deposit'!AG143+IF(Components!AH143&gt;0,AF143-Components!AH143,AF143*(1+EarningsRate))</f>
        <v>4856.3633857843215</v>
      </c>
      <c r="AH143" s="29">
        <f>'FF Deposit'!AH143+IF(Components!AI143&gt;0,AG143-Components!AI143,AG143*(1+EarningsRate))</f>
        <v>6544.1268819533825</v>
      </c>
      <c r="AI143" s="29">
        <f>'FF Deposit'!AI143+IF(Components!AJ143&gt;0,AH143-Components!AJ143,AH143*(1+EarningsRate))</f>
        <v>8267.333411541993</v>
      </c>
      <c r="AJ143" s="29">
        <f>'FF Deposit'!AJ143+IF(Components!AK143&gt;0,AI143-Components!AK143,AI143*(1+EarningsRate))</f>
        <v>10026.727278251965</v>
      </c>
      <c r="AK143" s="29">
        <f>'FF Deposit'!AK143+IF(Components!AL143&gt;0,AJ143-Components!AL143,AJ143*(1+EarningsRate))</f>
        <v>11823.068416162845</v>
      </c>
      <c r="AL143" s="29">
        <f>'FF Deposit'!AL143+IF(Components!AM143&gt;0,AK143-Components!AM143,AK143*(1+EarningsRate))</f>
        <v>13657.132717969855</v>
      </c>
      <c r="AM143" s="29">
        <f>'FF Deposit'!AM143+IF(Components!AN143&gt;0,AL143-Components!AN143,AL143*(1+EarningsRate))</f>
        <v>15529.71237011481</v>
      </c>
      <c r="AN143" s="29">
        <f>'FF Deposit'!AN143+IF(Components!AO143&gt;0,AM143-Components!AO143,AM143*(1+EarningsRate))</f>
        <v>17441.616194954811</v>
      </c>
      <c r="AO143" s="29">
        <f>'FF Deposit'!AO143+IF(Components!AP143&gt;0,AN143-Components!AP143,AN143*(1+EarningsRate))</f>
        <v>19393.67000011645</v>
      </c>
      <c r="AP143" s="53"/>
    </row>
    <row r="144" spans="1:42" s="1" customFormat="1">
      <c r="A144" s="220" t="str">
        <f>Components!B144</f>
        <v>Golf Equip</v>
      </c>
      <c r="B144" s="220" t="str">
        <f>Components!C144</f>
        <v>Grinder, Reel</v>
      </c>
      <c r="C144" s="211"/>
      <c r="D144" s="211"/>
      <c r="E144" s="82">
        <f>AnalysisYear-Components!I144-Components!J144</f>
        <v>16</v>
      </c>
      <c r="F144" s="82">
        <f>IF(H144&lt;0,Components!K144-MOD(AnalysisYear-Components!I144-Components!J144,Components!K144),AnalysisYear-Components!I144-Components!J144)</f>
        <v>16</v>
      </c>
      <c r="G144" s="11">
        <f>ROUND(Components!H144*IF(H144&lt;0,((1+InflationRate)^F144),((1+InflationRate)^H144)),0)</f>
        <v>49855</v>
      </c>
      <c r="H144" s="82">
        <f>IF(E144&gt;=0,Components!K144-E144,E144)</f>
        <v>0</v>
      </c>
      <c r="I144" s="82"/>
      <c r="J144" s="211"/>
      <c r="K144" s="29">
        <f>IF($H144&gt;0,FV(EarningsRate,F144,-'FF Deposit'!L144,1),Components!$H144)</f>
        <v>49854.811499999996</v>
      </c>
      <c r="L144" s="29">
        <f>'FF Deposit'!L144+IF(Components!M144&gt;0,K144-Components!M144,K144*(1+EarningsRate))</f>
        <v>4601.8483806643226</v>
      </c>
      <c r="M144" s="29">
        <f>'FF Deposit'!M144+IF(Components!N144&gt;0,L144-Components!N144,L144*(1+EarningsRate))</f>
        <v>9300.5240773225996</v>
      </c>
      <c r="N144" s="29">
        <f>'FF Deposit'!N144+IF(Components!O144&gt;0,M144-Components!O144,M144*(1+EarningsRate))</f>
        <v>14097.871963610698</v>
      </c>
      <c r="O144" s="29">
        <f>'FF Deposit'!O144+IF(Components!P144&gt;0,N144-Components!P144,N144*(1+EarningsRate))</f>
        <v>18995.964155510846</v>
      </c>
      <c r="P144" s="29">
        <f>'FF Deposit'!P144+IF(Components!Q144&gt;0,O144-Components!Q144,O144*(1+EarningsRate))</f>
        <v>23996.9162834409</v>
      </c>
      <c r="Q144" s="29">
        <f>'FF Deposit'!Q144+IF(Components!R144&gt;0,P144-Components!R144,P144*(1+EarningsRate))</f>
        <v>29102.888406057486</v>
      </c>
      <c r="R144" s="29">
        <f>'FF Deposit'!R144+IF(Components!S144&gt;0,Q144-Components!S144,Q144*(1+EarningsRate))</f>
        <v>34316.085943249018</v>
      </c>
      <c r="S144" s="29">
        <f>'FF Deposit'!S144+IF(Components!T144&gt;0,R144-Components!T144,R144*(1+EarningsRate))</f>
        <v>39638.760628721568</v>
      </c>
      <c r="T144" s="29">
        <f>'FF Deposit'!T144+IF(Components!U144&gt;0,S144-Components!U144,S144*(1+EarningsRate))</f>
        <v>45073.211482589038</v>
      </c>
      <c r="U144" s="29">
        <f>'FF Deposit'!U144+IF(Components!V144&gt;0,T144-Components!V144,T144*(1+EarningsRate))</f>
        <v>50621.785804387728</v>
      </c>
      <c r="V144" s="29">
        <f>'FF Deposit'!V144+IF(Components!W144&gt;0,U144-Components!W144,U144*(1+EarningsRate))</f>
        <v>56286.880186944189</v>
      </c>
      <c r="W144" s="29">
        <f>'FF Deposit'!W144+IF(Components!X144&gt;0,V144-Components!X144,V144*(1+EarningsRate))</f>
        <v>62070.941551534335</v>
      </c>
      <c r="X144" s="29">
        <f>'FF Deposit'!X144+IF(Components!Y144&gt;0,W144-Components!Y144,W144*(1+EarningsRate))</f>
        <v>67976.468204780875</v>
      </c>
      <c r="Y144" s="29">
        <f>'FF Deposit'!Y144+IF(Components!Z144&gt;0,X144-Components!Z144,X144*(1+EarningsRate))</f>
        <v>74006.010917745589</v>
      </c>
      <c r="Z144" s="29">
        <f>'FF Deposit'!Z144+IF(Components!AA144&gt;0,Y144-Components!AA144,Y144*(1+EarningsRate))</f>
        <v>80162.174027682559</v>
      </c>
      <c r="AA144" s="29">
        <f>'FF Deposit'!AA144+IF(Components!AB144&gt;0,Z144-Components!AB144,Z144*(1+EarningsRate))</f>
        <v>86447.616562928204</v>
      </c>
      <c r="AB144" s="29">
        <f>'FF Deposit'!AB144+IF(Components!AC144&gt;0,AA144-Components!AC144,AA144*(1+EarningsRate))</f>
        <v>7979.4958981938671</v>
      </c>
      <c r="AC144" s="29">
        <f>'FF Deposit'!AC144+IF(Components!AD144&gt;0,AB144-Components!AD144,AB144*(1+EarningsRate))</f>
        <v>16126.944647321601</v>
      </c>
      <c r="AD144" s="29">
        <f>'FF Deposit'!AD144+IF(Components!AE144&gt;0,AC144-Components!AE144,AC144*(1+EarningsRate))</f>
        <v>24445.489820181014</v>
      </c>
      <c r="AE144" s="29">
        <f>'FF Deposit'!AE144+IF(Components!AF144&gt;0,AD144-Components!AF144,AD144*(1+EarningsRate))</f>
        <v>32938.724441670478</v>
      </c>
      <c r="AF144" s="29">
        <f>'FF Deposit'!AF144+IF(Components!AG144&gt;0,AE144-Components!AG144,AE144*(1+EarningsRate))</f>
        <v>41610.31699021122</v>
      </c>
      <c r="AG144" s="29">
        <f>'FF Deposit'!AG144+IF(Components!AH144&gt;0,AF144-Components!AH144,AF144*(1+EarningsRate))</f>
        <v>50464.012982271321</v>
      </c>
      <c r="AH144" s="29">
        <f>'FF Deposit'!AH144+IF(Components!AI144&gt;0,AG144-Components!AI144,AG144*(1+EarningsRate))</f>
        <v>59503.636590164679</v>
      </c>
      <c r="AI144" s="29">
        <f>'FF Deposit'!AI144+IF(Components!AJ144&gt;0,AH144-Components!AJ144,AH144*(1+EarningsRate))</f>
        <v>68733.092293823793</v>
      </c>
      <c r="AJ144" s="29">
        <f>'FF Deposit'!AJ144+IF(Components!AK144&gt;0,AI144-Components!AK144,AI144*(1+EarningsRate))</f>
        <v>78156.366567259756</v>
      </c>
      <c r="AK144" s="29">
        <f>'FF Deposit'!AK144+IF(Components!AL144&gt;0,AJ144-Components!AL144,AJ144*(1+EarningsRate))</f>
        <v>87777.529600437862</v>
      </c>
      <c r="AL144" s="29">
        <f>'FF Deposit'!AL144+IF(Components!AM144&gt;0,AK144-Components!AM144,AK144*(1+EarningsRate))</f>
        <v>97600.737057312712</v>
      </c>
      <c r="AM144" s="29">
        <f>'FF Deposit'!AM144+IF(Components!AN144&gt;0,AL144-Components!AN144,AL144*(1+EarningsRate))</f>
        <v>107630.23187078194</v>
      </c>
      <c r="AN144" s="29">
        <f>'FF Deposit'!AN144+IF(Components!AO144&gt;0,AM144-Components!AO144,AM144*(1+EarningsRate))</f>
        <v>117870.34607533402</v>
      </c>
      <c r="AO144" s="29">
        <f>'FF Deposit'!AO144+IF(Components!AP144&gt;0,AN144-Components!AP144,AN144*(1+EarningsRate))</f>
        <v>128325.50267818169</v>
      </c>
      <c r="AP144" s="53"/>
    </row>
    <row r="145" spans="1:42" s="1" customFormat="1">
      <c r="A145" s="220" t="str">
        <f>Components!B145</f>
        <v>Golf Equip</v>
      </c>
      <c r="B145" s="220" t="str">
        <f>Components!C145</f>
        <v>HD Utility Vehicle # 603</v>
      </c>
      <c r="C145" s="211"/>
      <c r="D145" s="211"/>
      <c r="E145" s="82">
        <f>AnalysisYear-Components!I145-Components!J145</f>
        <v>2</v>
      </c>
      <c r="F145" s="82">
        <f>IF(H145&lt;0,Components!K145-MOD(AnalysisYear-Components!I145-Components!J145,Components!K145),AnalysisYear-Components!I145-Components!J145)</f>
        <v>2</v>
      </c>
      <c r="G145" s="11">
        <f>ROUND(Components!H145*IF(H145&lt;0,((1+InflationRate)^F145),((1+InflationRate)^H145)),0)</f>
        <v>35681</v>
      </c>
      <c r="H145" s="82">
        <f>IF(E145&gt;=0,Components!K145-E145,E145)</f>
        <v>8</v>
      </c>
      <c r="I145" s="82"/>
      <c r="J145" s="211"/>
      <c r="K145" s="29">
        <f>IF($H145&gt;0,FV(EarningsRate,F145,-'FF Deposit'!L145,1),Components!$H145)</f>
        <v>6554.5812206640485</v>
      </c>
      <c r="L145" s="29">
        <f>'FF Deposit'!L145+IF(Components!M145&gt;0,K145-Components!M145,K145*(1+EarningsRate))</f>
        <v>9935.9798566117424</v>
      </c>
      <c r="M145" s="29">
        <f>'FF Deposit'!M145+IF(Components!N145&gt;0,L145-Components!N145,L145*(1+EarningsRate))</f>
        <v>13388.387863914339</v>
      </c>
      <c r="N145" s="29">
        <f>'FF Deposit'!N145+IF(Components!O145&gt;0,M145-Components!O145,M145*(1+EarningsRate))</f>
        <v>16913.29643937029</v>
      </c>
      <c r="O145" s="29">
        <f>'FF Deposit'!O145+IF(Components!P145&gt;0,N145-Components!P145,N145*(1+EarningsRate))</f>
        <v>20512.228094910814</v>
      </c>
      <c r="P145" s="29">
        <f>'FF Deposit'!P145+IF(Components!Q145&gt;0,O145-Components!Q145,O145*(1+EarningsRate))</f>
        <v>24186.737315217688</v>
      </c>
      <c r="Q145" s="29">
        <f>'FF Deposit'!Q145+IF(Components!R145&gt;0,P145-Components!R145,P145*(1+EarningsRate))</f>
        <v>27938.411229151006</v>
      </c>
      <c r="R145" s="29">
        <f>'FF Deposit'!R145+IF(Components!S145&gt;0,Q145-Components!S145,Q145*(1+EarningsRate))</f>
        <v>31768.870295276927</v>
      </c>
      <c r="S145" s="29">
        <f>'FF Deposit'!S145+IF(Components!T145&gt;0,R145-Components!T145,R145*(1+EarningsRate))</f>
        <v>35679.769001791487</v>
      </c>
      <c r="T145" s="29">
        <f>'FF Deposit'!T145+IF(Components!U145&gt;0,S145-Components!U145,S145*(1+EarningsRate))</f>
        <v>4574.4021597538122</v>
      </c>
      <c r="U145" s="29">
        <f>'FF Deposit'!U145+IF(Components!V145&gt;0,T145-Components!V145,T145*(1+EarningsRate))</f>
        <v>9246.0977630709676</v>
      </c>
      <c r="V145" s="29">
        <f>'FF Deposit'!V145+IF(Components!W145&gt;0,U145-Components!W145,U145*(1+EarningsRate))</f>
        <v>14015.898974057784</v>
      </c>
      <c r="W145" s="29">
        <f>'FF Deposit'!W145+IF(Components!X145&gt;0,V145-Components!X145,V145*(1+EarningsRate))</f>
        <v>18885.866010475322</v>
      </c>
      <c r="X145" s="29">
        <f>'FF Deposit'!X145+IF(Components!Y145&gt;0,W145-Components!Y145,W145*(1+EarningsRate))</f>
        <v>23858.102354657629</v>
      </c>
      <c r="Y145" s="29">
        <f>'FF Deposit'!Y145+IF(Components!Z145&gt;0,X145-Components!Z145,X145*(1+EarningsRate))</f>
        <v>28934.755662067764</v>
      </c>
      <c r="Z145" s="29">
        <f>'FF Deposit'!Z145+IF(Components!AA145&gt;0,Y145-Components!AA145,Y145*(1+EarningsRate))</f>
        <v>34118.018688933509</v>
      </c>
      <c r="AA145" s="29">
        <f>'FF Deposit'!AA145+IF(Components!AB145&gt;0,Z145-Components!AB145,Z145*(1+EarningsRate))</f>
        <v>39410.13023936344</v>
      </c>
      <c r="AB145" s="29">
        <f>'FF Deposit'!AB145+IF(Components!AC145&gt;0,AA145-Components!AC145,AA145*(1+EarningsRate))</f>
        <v>44813.376132352394</v>
      </c>
      <c r="AC145" s="29">
        <f>'FF Deposit'!AC145+IF(Components!AD145&gt;0,AB145-Components!AD145,AB145*(1+EarningsRate))</f>
        <v>50330.090189094117</v>
      </c>
      <c r="AD145" s="29">
        <f>'FF Deposit'!AD145+IF(Components!AE145&gt;0,AC145-Components!AE145,AC145*(1+EarningsRate))</f>
        <v>6452.5272314012209</v>
      </c>
      <c r="AE145" s="29">
        <f>'FF Deposit'!AE145+IF(Components!AF145&gt;0,AD145-Components!AF145,AD145*(1+EarningsRate))</f>
        <v>13042.467345567751</v>
      </c>
      <c r="AF145" s="29">
        <f>'FF Deposit'!AF145+IF(Components!AG145&gt;0,AE145-Components!AG145,AE145*(1+EarningsRate))</f>
        <v>19770.796202131776</v>
      </c>
      <c r="AG145" s="29">
        <f>'FF Deposit'!AG145+IF(Components!AH145&gt;0,AF145-Components!AH145,AF145*(1+EarningsRate))</f>
        <v>26640.419964683646</v>
      </c>
      <c r="AH145" s="29">
        <f>'FF Deposit'!AH145+IF(Components!AI145&gt;0,AG145-Components!AI145,AG145*(1+EarningsRate))</f>
        <v>33654.305826249103</v>
      </c>
      <c r="AI145" s="29">
        <f>'FF Deposit'!AI145+IF(Components!AJ145&gt;0,AH145-Components!AJ145,AH145*(1+EarningsRate))</f>
        <v>40815.483290907432</v>
      </c>
      <c r="AJ145" s="29">
        <f>'FF Deposit'!AJ145+IF(Components!AK145&gt;0,AI145-Components!AK145,AI145*(1+EarningsRate))</f>
        <v>48127.045482323585</v>
      </c>
      <c r="AK145" s="29">
        <f>'FF Deposit'!AK145+IF(Components!AL145&gt;0,AJ145-Components!AL145,AJ145*(1+EarningsRate))</f>
        <v>55592.150479759475</v>
      </c>
      <c r="AL145" s="29">
        <f>'FF Deposit'!AL145+IF(Components!AM145&gt;0,AK145-Components!AM145,AK145*(1+EarningsRate))</f>
        <v>63214.02268214152</v>
      </c>
      <c r="AM145" s="29">
        <f>'FF Deposit'!AM145+IF(Components!AN145&gt;0,AL145-Components!AN145,AL145*(1+EarningsRate))</f>
        <v>70995.954200773587</v>
      </c>
      <c r="AN145" s="29">
        <f>'FF Deposit'!AN145+IF(Components!AO145&gt;0,AM145-Components!AO145,AM145*(1+EarningsRate))</f>
        <v>9102.5421593232131</v>
      </c>
      <c r="AO145" s="29">
        <f>'FF Deposit'!AO145+IF(Components!AP145&gt;0,AN145-Components!AP145,AN145*(1+EarningsRate))</f>
        <v>18398.283503218627</v>
      </c>
      <c r="AP145" s="53"/>
    </row>
    <row r="146" spans="1:42" s="1" customFormat="1">
      <c r="A146" s="220" t="str">
        <f>Components!B146</f>
        <v>Golf Equip</v>
      </c>
      <c r="B146" s="220" t="str">
        <f>Components!C146</f>
        <v>HD Utility Vehicle # 614</v>
      </c>
      <c r="C146" s="211"/>
      <c r="D146" s="211"/>
      <c r="E146" s="82">
        <f>AnalysisYear-Components!I146-Components!J146</f>
        <v>6</v>
      </c>
      <c r="F146" s="82">
        <f>IF(H146&lt;0,Components!K146-MOD(AnalysisYear-Components!I146-Components!J146,Components!K146),AnalysisYear-Components!I146-Components!J146)</f>
        <v>6</v>
      </c>
      <c r="G146" s="11">
        <f>ROUND(Components!H146*IF(H146&lt;0,((1+InflationRate)^F146),((1+InflationRate)^H146)),0)</f>
        <v>31868</v>
      </c>
      <c r="H146" s="82">
        <f>IF(E146&gt;=0,Components!K146-E146,E146)</f>
        <v>4</v>
      </c>
      <c r="I146" s="82"/>
      <c r="J146" s="211"/>
      <c r="K146" s="29">
        <f>IF($H146&gt;0,FV(EarningsRate,F146,-'FF Deposit'!L146,1),Components!$H146)</f>
        <v>18320.096565403423</v>
      </c>
      <c r="L146" s="29">
        <f>'FF Deposit'!L146+IF(Components!M146&gt;0,K146-Components!M146,K146*(1+EarningsRate))</f>
        <v>21601.9319715241</v>
      </c>
      <c r="M146" s="29">
        <f>'FF Deposit'!M146+IF(Components!N146&gt;0,L146-Components!N146,L146*(1+EarningsRate))</f>
        <v>24952.68592117331</v>
      </c>
      <c r="N146" s="29">
        <f>'FF Deposit'!N146+IF(Components!O146&gt;0,M146-Components!O146,M146*(1+EarningsRate))</f>
        <v>28373.805703765152</v>
      </c>
      <c r="O146" s="29">
        <f>'FF Deposit'!O146+IF(Components!P146&gt;0,N146-Components!P146,N146*(1+EarningsRate))</f>
        <v>31866.769001791425</v>
      </c>
      <c r="P146" s="29">
        <f>'FF Deposit'!P146+IF(Components!Q146&gt;0,O146-Components!Q146,O146*(1+EarningsRate))</f>
        <v>4085.4335425258046</v>
      </c>
      <c r="Q146" s="29">
        <f>'FF Deposit'!Q146+IF(Components!R146&gt;0,P146-Components!R146,P146*(1+EarningsRate))</f>
        <v>8257.8921876532258</v>
      </c>
      <c r="R146" s="29">
        <f>'FF Deposit'!R146+IF(Components!S146&gt;0,Q146-Components!S146,Q146*(1+EarningsRate))</f>
        <v>12517.972464328323</v>
      </c>
      <c r="S146" s="29">
        <f>'FF Deposit'!S146+IF(Components!T146&gt;0,R146-Components!T146,R146*(1+EarningsRate))</f>
        <v>16867.514426813595</v>
      </c>
      <c r="T146" s="29">
        <f>'FF Deposit'!T146+IF(Components!U146&gt;0,S146-Components!U146,S146*(1+EarningsRate))</f>
        <v>21308.396770511059</v>
      </c>
      <c r="U146" s="29">
        <f>'FF Deposit'!U146+IF(Components!V146&gt;0,T146-Components!V146,T146*(1+EarningsRate))</f>
        <v>25842.537643426167</v>
      </c>
      <c r="V146" s="29">
        <f>'FF Deposit'!V146+IF(Components!W146&gt;0,U146-Components!W146,U146*(1+EarningsRate))</f>
        <v>30471.895474672492</v>
      </c>
      <c r="W146" s="29">
        <f>'FF Deposit'!W146+IF(Components!X146&gt;0,V146-Components!X146,V146*(1+EarningsRate))</f>
        <v>35198.469820374994</v>
      </c>
      <c r="X146" s="29">
        <f>'FF Deposit'!X146+IF(Components!Y146&gt;0,W146-Components!Y146,W146*(1+EarningsRate))</f>
        <v>40024.302227337248</v>
      </c>
      <c r="Y146" s="29">
        <f>'FF Deposit'!Y146+IF(Components!Z146&gt;0,X146-Components!Z146,X146*(1+EarningsRate))</f>
        <v>44951.477114845708</v>
      </c>
      <c r="Z146" s="29">
        <f>'FF Deposit'!Z146+IF(Components!AA146&gt;0,Y146-Components!AA146,Y146*(1+EarningsRate))</f>
        <v>5762.2542506613636</v>
      </c>
      <c r="AA146" s="29">
        <f>'FF Deposit'!AA146+IF(Components!AB146&gt;0,Z146-Components!AB146,Z146*(1+EarningsRate))</f>
        <v>11648.038725740907</v>
      </c>
      <c r="AB146" s="29">
        <f>'FF Deposit'!AB146+IF(Components!AC146&gt;0,AA146-Components!AC146,AA146*(1+EarningsRate))</f>
        <v>17657.424674797123</v>
      </c>
      <c r="AC146" s="29">
        <f>'FF Deposit'!AC146+IF(Components!AD146&gt;0,AB146-Components!AD146,AB146*(1+EarningsRate))</f>
        <v>23793.007728783519</v>
      </c>
      <c r="AD146" s="29">
        <f>'FF Deposit'!AD146+IF(Components!AE146&gt;0,AC146-Components!AE146,AC146*(1+EarningsRate))</f>
        <v>30057.438026903626</v>
      </c>
      <c r="AE146" s="29">
        <f>'FF Deposit'!AE146+IF(Components!AF146&gt;0,AD146-Components!AF146,AD146*(1+EarningsRate))</f>
        <v>36453.421361284258</v>
      </c>
      <c r="AF146" s="29">
        <f>'FF Deposit'!AF146+IF(Components!AG146&gt;0,AE146-Components!AG146,AE146*(1+EarningsRate))</f>
        <v>42983.720345686874</v>
      </c>
      <c r="AG146" s="29">
        <f>'FF Deposit'!AG146+IF(Components!AH146&gt;0,AF146-Components!AH146,AF146*(1+EarningsRate))</f>
        <v>49651.155608761946</v>
      </c>
      <c r="AH146" s="29">
        <f>'FF Deposit'!AH146+IF(Components!AI146&gt;0,AG146-Components!AI146,AG146*(1+EarningsRate))</f>
        <v>56458.607012361594</v>
      </c>
      <c r="AI146" s="29">
        <f>'FF Deposit'!AI146+IF(Components!AJ146&gt;0,AH146-Components!AJ146,AH146*(1+EarningsRate))</f>
        <v>63409.014895436834</v>
      </c>
      <c r="AJ146" s="29">
        <f>'FF Deposit'!AJ146+IF(Components!AK146&gt;0,AI146-Components!AK146,AI146*(1+EarningsRate))</f>
        <v>8129.6668721064634</v>
      </c>
      <c r="AK146" s="29">
        <f>'FF Deposit'!AK146+IF(Components!AL146&gt;0,AJ146-Components!AL146,AJ146*(1+EarningsRate))</f>
        <v>16432.041853090326</v>
      </c>
      <c r="AL146" s="29">
        <f>'FF Deposit'!AL146+IF(Components!AM146&gt;0,AK146-Components!AM146,AK146*(1+EarningsRate))</f>
        <v>24908.766708674852</v>
      </c>
      <c r="AM146" s="29">
        <f>'FF Deposit'!AM146+IF(Components!AN146&gt;0,AL146-Components!AN146,AL146*(1+EarningsRate))</f>
        <v>33563.502786226651</v>
      </c>
      <c r="AN146" s="29">
        <f>'FF Deposit'!AN146+IF(Components!AO146&gt;0,AM146-Components!AO146,AM146*(1+EarningsRate))</f>
        <v>42399.988321407036</v>
      </c>
      <c r="AO146" s="29">
        <f>'FF Deposit'!AO146+IF(Components!AP146&gt;0,AN146-Components!AP146,AN146*(1+EarningsRate))</f>
        <v>51422.040052826211</v>
      </c>
      <c r="AP146" s="53"/>
    </row>
    <row r="147" spans="1:42" s="1" customFormat="1">
      <c r="A147" s="220" t="str">
        <f>Components!B147</f>
        <v>Golf Equip</v>
      </c>
      <c r="B147" s="220" t="str">
        <f>Components!C147</f>
        <v>LD Utility Vehicle # 607</v>
      </c>
      <c r="C147" s="211"/>
      <c r="D147" s="211"/>
      <c r="E147" s="82">
        <f>AnalysisYear-Components!I147-Components!J147</f>
        <v>8</v>
      </c>
      <c r="F147" s="82">
        <f>IF(H147&lt;0,Components!K147-MOD(AnalysisYear-Components!I147-Components!J147,Components!K147),AnalysisYear-Components!I147-Components!J147)</f>
        <v>8</v>
      </c>
      <c r="G147" s="11">
        <f>ROUND(Components!H147*IF(H147&lt;0,((1+InflationRate)^F147),((1+InflationRate)^H147)),0)</f>
        <v>12604</v>
      </c>
      <c r="H147" s="82">
        <f>IF(E147&gt;=0,Components!K147-E147,E147)</f>
        <v>2</v>
      </c>
      <c r="I147" s="82"/>
      <c r="J147" s="211"/>
      <c r="K147" s="29">
        <f>IF($H147&gt;0,FV(EarningsRate,F147,-'FF Deposit'!L147,1),Components!$H147)</f>
        <v>9868.2347454898681</v>
      </c>
      <c r="L147" s="29">
        <f>'FF Deposit'!L147+IF(Components!M147&gt;0,K147-Components!M147,K147*(1+EarningsRate))</f>
        <v>11221.294743659897</v>
      </c>
      <c r="M147" s="29">
        <f>'FF Deposit'!M147+IF(Components!N147&gt;0,L147-Components!N147,L147*(1+EarningsRate))</f>
        <v>12602.769001791496</v>
      </c>
      <c r="N147" s="29">
        <f>'FF Deposit'!N147+IF(Components!O147&gt;0,M147-Components!O147,M147*(1+EarningsRate))</f>
        <v>1615.0712445245231</v>
      </c>
      <c r="O147" s="29">
        <f>'FF Deposit'!O147+IF(Components!P147&gt;0,N147-Components!P147,N147*(1+EarningsRate))</f>
        <v>3265.2899833925653</v>
      </c>
      <c r="P147" s="29">
        <f>'FF Deposit'!P147+IF(Components!Q147&gt;0,O147-Components!Q147,O147*(1+EarningsRate))</f>
        <v>4950.1633157768365</v>
      </c>
      <c r="Q147" s="29">
        <f>'FF Deposit'!Q147+IF(Components!R147&gt;0,P147-Components!R147,P147*(1+EarningsRate))</f>
        <v>6670.4189881411767</v>
      </c>
      <c r="R147" s="29">
        <f>'FF Deposit'!R147+IF(Components!S147&gt;0,Q147-Components!S147,Q147*(1+EarningsRate))</f>
        <v>8426.8000296251685</v>
      </c>
      <c r="S147" s="29">
        <f>'FF Deposit'!S147+IF(Components!T147&gt;0,R147-Components!T147,R147*(1+EarningsRate))</f>
        <v>10220.065072980324</v>
      </c>
      <c r="T147" s="29">
        <f>'FF Deposit'!T147+IF(Components!U147&gt;0,S147-Components!U147,S147*(1+EarningsRate))</f>
        <v>12050.988682245938</v>
      </c>
      <c r="U147" s="29">
        <f>'FF Deposit'!U147+IF(Components!V147&gt;0,T147-Components!V147,T147*(1+EarningsRate))</f>
        <v>13920.361687306127</v>
      </c>
      <c r="V147" s="29">
        <f>'FF Deposit'!V147+IF(Components!W147&gt;0,U147-Components!W147,U147*(1+EarningsRate))</f>
        <v>15828.991525472582</v>
      </c>
      <c r="W147" s="29">
        <f>'FF Deposit'!W147+IF(Components!X147&gt;0,V147-Components!X147,V147*(1+EarningsRate))</f>
        <v>17777.702590240533</v>
      </c>
      <c r="X147" s="29">
        <f>'FF Deposit'!X147+IF(Components!Y147&gt;0,W147-Components!Y147,W147*(1+EarningsRate))</f>
        <v>2278.6325786212451</v>
      </c>
      <c r="Y147" s="29">
        <f>'FF Deposit'!Y147+IF(Components!Z147&gt;0,X147-Components!Z147,X147*(1+EarningsRate))</f>
        <v>4606.4138511530036</v>
      </c>
      <c r="Z147" s="29">
        <f>'FF Deposit'!Z147+IF(Components!AA147&gt;0,Y147-Components!AA147,Y147*(1+EarningsRate))</f>
        <v>6983.0785304079291</v>
      </c>
      <c r="AA147" s="29">
        <f>'FF Deposit'!AA147+IF(Components!AB147&gt;0,Z147-Components!AB147,Z147*(1+EarningsRate))</f>
        <v>9409.6531679272066</v>
      </c>
      <c r="AB147" s="29">
        <f>'FF Deposit'!AB147+IF(Components!AC147&gt;0,AA147-Components!AC147,AA147*(1+EarningsRate))</f>
        <v>11887.18587283439</v>
      </c>
      <c r="AC147" s="29">
        <f>'FF Deposit'!AC147+IF(Components!AD147&gt;0,AB147-Components!AD147,AB147*(1+EarningsRate))</f>
        <v>14416.746764544625</v>
      </c>
      <c r="AD147" s="29">
        <f>'FF Deposit'!AD147+IF(Components!AE147&gt;0,AC147-Components!AE147,AC147*(1+EarningsRate))</f>
        <v>16999.428434980771</v>
      </c>
      <c r="AE147" s="29">
        <f>'FF Deposit'!AE147+IF(Components!AF147&gt;0,AD147-Components!AF147,AD147*(1+EarningsRate))</f>
        <v>19636.346420496076</v>
      </c>
      <c r="AF147" s="29">
        <f>'FF Deposit'!AF147+IF(Components!AG147&gt;0,AE147-Components!AG147,AE147*(1+EarningsRate))</f>
        <v>22328.639683707202</v>
      </c>
      <c r="AG147" s="29">
        <f>'FF Deposit'!AG147+IF(Components!AH147&gt;0,AF147-Components!AH147,AF147*(1+EarningsRate))</f>
        <v>25077.471105445762</v>
      </c>
      <c r="AH147" s="29">
        <f>'FF Deposit'!AH147+IF(Components!AI147&gt;0,AG147-Components!AI147,AG147*(1+EarningsRate))</f>
        <v>3214.5329862377012</v>
      </c>
      <c r="AI147" s="29">
        <f>'FF Deposit'!AI147+IF(Components!AJ147&gt;0,AH147-Components!AJ147,AH147*(1+EarningsRate))</f>
        <v>6498.1000597406319</v>
      </c>
      <c r="AJ147" s="29">
        <f>'FF Deposit'!AJ147+IF(Components!AK147&gt;0,AI147-Components!AK147,AI147*(1+EarningsRate))</f>
        <v>9850.6220417871227</v>
      </c>
      <c r="AK147" s="29">
        <f>'FF Deposit'!AK147+IF(Components!AL147&gt;0,AJ147-Components!AL147,AJ147*(1+EarningsRate))</f>
        <v>13273.546985456589</v>
      </c>
      <c r="AL147" s="29">
        <f>'FF Deposit'!AL147+IF(Components!AM147&gt;0,AK147-Components!AM147,AK147*(1+EarningsRate))</f>
        <v>16768.353352943115</v>
      </c>
      <c r="AM147" s="29">
        <f>'FF Deposit'!AM147+IF(Components!AN147&gt;0,AL147-Components!AN147,AL147*(1+EarningsRate))</f>
        <v>20336.550654146857</v>
      </c>
      <c r="AN147" s="29">
        <f>'FF Deposit'!AN147+IF(Components!AO147&gt;0,AM147-Components!AO147,AM147*(1+EarningsRate))</f>
        <v>23979.680098675875</v>
      </c>
      <c r="AO147" s="29">
        <f>'FF Deposit'!AO147+IF(Components!AP147&gt;0,AN147-Components!AP147,AN147*(1+EarningsRate))</f>
        <v>27699.315261540003</v>
      </c>
      <c r="AP147" s="53"/>
    </row>
    <row r="148" spans="1:42" s="1" customFormat="1">
      <c r="A148" s="220" t="str">
        <f>Components!B148</f>
        <v>Golf Equip</v>
      </c>
      <c r="B148" s="220" t="str">
        <f>Components!C148</f>
        <v>LD Utility Vehicle # 608 (cab with snow plow)</v>
      </c>
      <c r="C148" s="211"/>
      <c r="D148" s="211"/>
      <c r="E148" s="82">
        <f>AnalysisYear-Components!I148-Components!J148</f>
        <v>10</v>
      </c>
      <c r="F148" s="82">
        <f>IF(H148&lt;0,Components!K148-MOD(AnalysisYear-Components!I148-Components!J148,Components!K148),AnalysisYear-Components!I148-Components!J148)</f>
        <v>10</v>
      </c>
      <c r="G148" s="11">
        <f>ROUND(Components!H148*IF(H148&lt;0,((1+InflationRate)^F148),((1+InflationRate)^H148)),0)</f>
        <v>49680</v>
      </c>
      <c r="H148" s="82">
        <f>IF(E148&gt;=0,Components!K148-E148,E148)</f>
        <v>0</v>
      </c>
      <c r="I148" s="82"/>
      <c r="J148" s="211"/>
      <c r="K148" s="29">
        <f>IF($H148&gt;0,FV(EarningsRate,F148,-'FF Deposit'!L148,1),Components!$H148)</f>
        <v>49679.999999999993</v>
      </c>
      <c r="L148" s="29">
        <f>'FF Deposit'!L148+IF(Components!M148&gt;0,K148-Components!M148,K148*(1+EarningsRate))</f>
        <v>6370.8263582177651</v>
      </c>
      <c r="M148" s="29">
        <f>'FF Deposit'!M148+IF(Components!N148&gt;0,L148-Components!N148,L148*(1+EarningsRate))</f>
        <v>12875.440069958109</v>
      </c>
      <c r="N148" s="29">
        <f>'FF Deposit'!N148+IF(Components!O148&gt;0,M148-Components!O148,M148*(1+EarningsRate))</f>
        <v>19516.650669645001</v>
      </c>
      <c r="O148" s="29">
        <f>'FF Deposit'!O148+IF(Components!P148&gt;0,N148-Components!P148,N148*(1+EarningsRate))</f>
        <v>26297.326691925315</v>
      </c>
      <c r="P148" s="29">
        <f>'FF Deposit'!P148+IF(Components!Q148&gt;0,O148-Components!Q148,O148*(1+EarningsRate))</f>
        <v>33220.396910673517</v>
      </c>
      <c r="Q148" s="29">
        <f>'FF Deposit'!Q148+IF(Components!R148&gt;0,P148-Components!R148,P148*(1+EarningsRate))</f>
        <v>40288.851604015435</v>
      </c>
      <c r="R148" s="29">
        <f>'FF Deposit'!R148+IF(Components!S148&gt;0,Q148-Components!S148,Q148*(1+EarningsRate))</f>
        <v>47505.743845917532</v>
      </c>
      <c r="S148" s="29">
        <f>'FF Deposit'!S148+IF(Components!T148&gt;0,R148-Components!T148,R148*(1+EarningsRate))</f>
        <v>54874.190824899568</v>
      </c>
      <c r="T148" s="29">
        <f>'FF Deposit'!T148+IF(Components!U148&gt;0,S148-Components!U148,S148*(1+EarningsRate))</f>
        <v>62397.375190440231</v>
      </c>
      <c r="U148" s="29">
        <f>'FF Deposit'!U148+IF(Components!V148&gt;0,T148-Components!V148,T148*(1+EarningsRate))</f>
        <v>70078.546427657246</v>
      </c>
      <c r="V148" s="29">
        <f>'FF Deposit'!V148+IF(Components!W148&gt;0,U148-Components!W148,U148*(1+EarningsRate))</f>
        <v>8986.2843575594852</v>
      </c>
      <c r="W148" s="29">
        <f>'FF Deposit'!W148+IF(Components!X148&gt;0,V148-Components!X148,V148*(1+EarningsRate))</f>
        <v>18161.734258970471</v>
      </c>
      <c r="X148" s="29">
        <f>'FF Deposit'!X148+IF(Components!Y148&gt;0,W148-Components!Y148,W148*(1+EarningsRate))</f>
        <v>27529.868608311088</v>
      </c>
      <c r="Y148" s="29">
        <f>'FF Deposit'!Y148+IF(Components!Z148&gt;0,X148-Components!Z148,X148*(1+EarningsRate))</f>
        <v>37094.733778987858</v>
      </c>
      <c r="Z148" s="29">
        <f>'FF Deposit'!Z148+IF(Components!AA148&gt;0,Y148-Components!AA148,Y148*(1+EarningsRate))</f>
        <v>46860.461118248844</v>
      </c>
      <c r="AA148" s="29">
        <f>'FF Deposit'!AA148+IF(Components!AB148&gt;0,Z148-Components!AB148,Z148*(1+EarningsRate))</f>
        <v>56831.268731634307</v>
      </c>
      <c r="AB148" s="29">
        <f>'FF Deposit'!AB148+IF(Components!AC148&gt;0,AA148-Components!AC148,AA148*(1+EarningsRate))</f>
        <v>67011.463304900855</v>
      </c>
      <c r="AC148" s="29">
        <f>'FF Deposit'!AC148+IF(Components!AD148&gt;0,AB148-Components!AD148,AB148*(1+EarningsRate))</f>
        <v>77405.441964206009</v>
      </c>
      <c r="AD148" s="29">
        <f>'FF Deposit'!AD148+IF(Components!AE148&gt;0,AC148-Components!AE148,AC148*(1+EarningsRate))</f>
        <v>88017.694175356577</v>
      </c>
      <c r="AE148" s="29">
        <f>'FF Deposit'!AE148+IF(Components!AF148&gt;0,AD148-Components!AF148,AD148*(1+EarningsRate))</f>
        <v>98852.803682941303</v>
      </c>
      <c r="AF148" s="29">
        <f>'FF Deposit'!AF148+IF(Components!AG148&gt;0,AE148-Components!AG148,AE148*(1+EarningsRate))</f>
        <v>12676.440115890207</v>
      </c>
      <c r="AG148" s="29">
        <f>'FF Deposit'!AG148+IF(Components!AH148&gt;0,AF148-Components!AH148,AF148*(1+EarningsRate))</f>
        <v>25619.281791272806</v>
      </c>
      <c r="AH148" s="29">
        <f>'FF Deposit'!AH148+IF(Components!AI148&gt;0,AG148-Components!AI148,AG148*(1+EarningsRate))</f>
        <v>38833.923141838437</v>
      </c>
      <c r="AI148" s="29">
        <f>'FF Deposit'!AI148+IF(Components!AJ148&gt;0,AH148-Components!AJ148,AH148*(1+EarningsRate))</f>
        <v>52326.071960765941</v>
      </c>
      <c r="AJ148" s="29">
        <f>'FF Deposit'!AJ148+IF(Components!AK148&gt;0,AI148-Components!AK148,AI148*(1+EarningsRate))</f>
        <v>66101.55590489092</v>
      </c>
      <c r="AK148" s="29">
        <f>'FF Deposit'!AK148+IF(Components!AL148&gt;0,AJ148-Components!AL148,AJ148*(1+EarningsRate))</f>
        <v>80166.32501184252</v>
      </c>
      <c r="AL148" s="29">
        <f>'FF Deposit'!AL148+IF(Components!AM148&gt;0,AK148-Components!AM148,AK148*(1+EarningsRate))</f>
        <v>94526.454270040107</v>
      </c>
      <c r="AM148" s="29">
        <f>'FF Deposit'!AM148+IF(Components!AN148&gt;0,AL148-Components!AN148,AL148*(1+EarningsRate))</f>
        <v>109188.14624265984</v>
      </c>
      <c r="AN148" s="29">
        <f>'FF Deposit'!AN148+IF(Components!AO148&gt;0,AM148-Components!AO148,AM148*(1+EarningsRate))</f>
        <v>124157.73374670459</v>
      </c>
      <c r="AO148" s="29">
        <f>'FF Deposit'!AO148+IF(Components!AP148&gt;0,AN148-Components!AP148,AN148*(1+EarningsRate))</f>
        <v>139441.68258833428</v>
      </c>
      <c r="AP148" s="53"/>
    </row>
    <row r="149" spans="1:42" s="1" customFormat="1">
      <c r="A149" s="220" t="str">
        <f>Components!B149</f>
        <v>Golf Equip</v>
      </c>
      <c r="B149" s="220" t="str">
        <f>Components!C149</f>
        <v>Mower, fairway # 616</v>
      </c>
      <c r="C149" s="211"/>
      <c r="D149" s="211"/>
      <c r="E149" s="82">
        <f>AnalysisYear-Components!I149-Components!J149</f>
        <v>3</v>
      </c>
      <c r="F149" s="82">
        <f>IF(H149&lt;0,Components!K149-MOD(AnalysisYear-Components!I149-Components!J149,Components!K149),AnalysisYear-Components!I149-Components!J149)</f>
        <v>3</v>
      </c>
      <c r="G149" s="11">
        <f>ROUND(Components!H149*IF(H149&lt;0,((1+InflationRate)^F149),((1+InflationRate)^H149)),0)</f>
        <v>93845</v>
      </c>
      <c r="H149" s="82">
        <f>IF(E149&gt;=0,Components!K149-E149,E149)</f>
        <v>11</v>
      </c>
      <c r="I149" s="82"/>
      <c r="J149" s="211"/>
      <c r="K149" s="29">
        <f>IF($H149&gt;0,FV(EarningsRate,F149,-'FF Deposit'!L149,1),Components!$H149)</f>
        <v>17876.251353232867</v>
      </c>
      <c r="L149" s="29">
        <f>'FF Deposit'!L149+IF(Components!M149&gt;0,K149-Components!M149,K149*(1+EarningsRate))</f>
        <v>24087.350360281391</v>
      </c>
      <c r="M149" s="29">
        <f>'FF Deposit'!M149+IF(Components!N149&gt;0,L149-Components!N149,L149*(1+EarningsRate))</f>
        <v>30428.882446477932</v>
      </c>
      <c r="N149" s="29">
        <f>'FF Deposit'!N149+IF(Components!O149&gt;0,M149-Components!O149,M149*(1+EarningsRate))</f>
        <v>36903.586706484602</v>
      </c>
      <c r="O149" s="29">
        <f>'FF Deposit'!O149+IF(Components!P149&gt;0,N149-Components!P149,N149*(1+EarningsRate))</f>
        <v>43514.259755951411</v>
      </c>
      <c r="P149" s="29">
        <f>'FF Deposit'!P149+IF(Components!Q149&gt;0,O149-Components!Q149,O149*(1+EarningsRate))</f>
        <v>50263.756939457024</v>
      </c>
      <c r="Q149" s="29">
        <f>'FF Deposit'!Q149+IF(Components!R149&gt;0,P149-Components!R149,P149*(1+EarningsRate))</f>
        <v>57154.99356381625</v>
      </c>
      <c r="R149" s="29">
        <f>'FF Deposit'!R149+IF(Components!S149&gt;0,Q149-Components!S149,Q149*(1+EarningsRate))</f>
        <v>64190.94615728702</v>
      </c>
      <c r="S149" s="29">
        <f>'FF Deposit'!S149+IF(Components!T149&gt;0,R149-Components!T149,R149*(1+EarningsRate))</f>
        <v>71374.653755220672</v>
      </c>
      <c r="T149" s="29">
        <f>'FF Deposit'!T149+IF(Components!U149&gt;0,S149-Components!U149,S149*(1+EarningsRate))</f>
        <v>78709.21921271093</v>
      </c>
      <c r="U149" s="29">
        <f>'FF Deposit'!U149+IF(Components!V149&gt;0,T149-Components!V149,T149*(1+EarningsRate))</f>
        <v>86197.810544808483</v>
      </c>
      <c r="V149" s="29">
        <f>'FF Deposit'!V149+IF(Components!W149&gt;0,U149-Components!W149,U149*(1+EarningsRate))</f>
        <v>93843.662294880094</v>
      </c>
      <c r="W149" s="29">
        <f>'FF Deposit'!W149+IF(Components!X149&gt;0,V149-Components!X149,V149*(1+EarningsRate))</f>
        <v>9444.8742429809317</v>
      </c>
      <c r="X149" s="29">
        <f>'FF Deposit'!X149+IF(Components!Y149&gt;0,W149-Components!Y149,W149*(1+EarningsRate))</f>
        <v>19089.42855018437</v>
      </c>
      <c r="Y149" s="29">
        <f>'FF Deposit'!Y149+IF(Components!Z149&gt;0,X149-Components!Z149,X149*(1+EarningsRate))</f>
        <v>28936.518497839079</v>
      </c>
      <c r="Z149" s="29">
        <f>'FF Deposit'!Z149+IF(Components!AA149&gt;0,Y149-Components!AA149,Y149*(1+EarningsRate))</f>
        <v>38990.39733439454</v>
      </c>
      <c r="AA149" s="29">
        <f>'FF Deposit'!AA149+IF(Components!AB149&gt;0,Z149-Components!AB149,Z149*(1+EarningsRate))</f>
        <v>49255.407626517655</v>
      </c>
      <c r="AB149" s="29">
        <f>'FF Deposit'!AB149+IF(Components!AC149&gt;0,AA149-Components!AC149,AA149*(1+EarningsRate))</f>
        <v>59735.983134775364</v>
      </c>
      <c r="AC149" s="29">
        <f>'FF Deposit'!AC149+IF(Components!AD149&gt;0,AB149-Components!AD149,AB149*(1+EarningsRate))</f>
        <v>70436.650728706474</v>
      </c>
      <c r="AD149" s="29">
        <f>'FF Deposit'!AD149+IF(Components!AE149&gt;0,AC149-Components!AE149,AC149*(1+EarningsRate))</f>
        <v>81362.032342110149</v>
      </c>
      <c r="AE149" s="29">
        <f>'FF Deposit'!AE149+IF(Components!AF149&gt;0,AD149-Components!AF149,AD149*(1+EarningsRate))</f>
        <v>92516.846969395294</v>
      </c>
      <c r="AF149" s="29">
        <f>'FF Deposit'!AF149+IF(Components!AG149&gt;0,AE149-Components!AG149,AE149*(1+EarningsRate))</f>
        <v>103905.91270385342</v>
      </c>
      <c r="AG149" s="29">
        <f>'FF Deposit'!AG149+IF(Components!AH149&gt;0,AF149-Components!AH149,AF149*(1+EarningsRate))</f>
        <v>115534.14881873518</v>
      </c>
      <c r="AH149" s="29">
        <f>'FF Deposit'!AH149+IF(Components!AI149&gt;0,AG149-Components!AI149,AG149*(1+EarningsRate))</f>
        <v>127406.57789202945</v>
      </c>
      <c r="AI149" s="29">
        <f>'FF Deposit'!AI149+IF(Components!AJ149&gt;0,AH149-Components!AJ149,AH149*(1+EarningsRate))</f>
        <v>139528.32797586289</v>
      </c>
      <c r="AJ149" s="29">
        <f>'FF Deposit'!AJ149+IF(Components!AK149&gt;0,AI149-Components!AK149,AI149*(1+EarningsRate))</f>
        <v>151904.63481145684</v>
      </c>
      <c r="AK149" s="29">
        <f>'FF Deposit'!AK149+IF(Components!AL149&gt;0,AJ149-Components!AL149,AJ149*(1+EarningsRate))</f>
        <v>15289.127349026299</v>
      </c>
      <c r="AL149" s="29">
        <f>'FF Deposit'!AL149+IF(Components!AM149&gt;0,AK149-Components!AM149,AK149*(1+EarningsRate))</f>
        <v>30900.691560925312</v>
      </c>
      <c r="AM149" s="29">
        <f>'FF Deposit'!AM149+IF(Components!AN149&gt;0,AL149-Components!AN149,AL149*(1+EarningsRate))</f>
        <v>46840.098621274199</v>
      </c>
      <c r="AN149" s="29">
        <f>'FF Deposit'!AN149+IF(Components!AO149&gt;0,AM149-Components!AO149,AM149*(1+EarningsRate))</f>
        <v>63114.233229890415</v>
      </c>
      <c r="AO149" s="29">
        <f>'FF Deposit'!AO149+IF(Components!AP149&gt;0,AN149-Components!AP149,AN149*(1+EarningsRate))</f>
        <v>79730.124665287571</v>
      </c>
      <c r="AP149" s="53"/>
    </row>
    <row r="150" spans="1:42" s="1" customFormat="1">
      <c r="A150" s="220" t="str">
        <f>Components!B150</f>
        <v>Golf Equip</v>
      </c>
      <c r="B150" s="220" t="str">
        <f>Components!C150</f>
        <v>Mower, rough # 610</v>
      </c>
      <c r="C150" s="211"/>
      <c r="D150" s="211"/>
      <c r="E150" s="82">
        <f>AnalysisYear-Components!I150-Components!J150</f>
        <v>6</v>
      </c>
      <c r="F150" s="82">
        <f>IF(H150&lt;0,Components!K150-MOD(AnalysisYear-Components!I150-Components!J150,Components!K150),AnalysisYear-Components!I150-Components!J150)</f>
        <v>6</v>
      </c>
      <c r="G150" s="11">
        <f>ROUND(Components!H150*IF(H150&lt;0,((1+InflationRate)^F150),((1+InflationRate)^H150)),0)</f>
        <v>57906</v>
      </c>
      <c r="H150" s="82">
        <f>IF(E150&gt;=0,Components!K150-E150,E150)</f>
        <v>4</v>
      </c>
      <c r="I150" s="82"/>
      <c r="J150" s="211"/>
      <c r="K150" s="29">
        <f>IF($H150&gt;0,FV(EarningsRate,F150,-'FF Deposit'!L150,1),Components!$H150)</f>
        <v>33289.601093415899</v>
      </c>
      <c r="L150" s="29">
        <f>'FF Deposit'!L150+IF(Components!M150&gt;0,K150-Components!M150,K150*(1+EarningsRate))</f>
        <v>39252.905362316596</v>
      </c>
      <c r="M150" s="29">
        <f>'FF Deposit'!M150+IF(Components!N150&gt;0,L150-Components!N150,L150*(1+EarningsRate))</f>
        <v>45341.4390208642</v>
      </c>
      <c r="N150" s="29">
        <f>'FF Deposit'!N150+IF(Components!O150&gt;0,M150-Components!O150,M150*(1+EarningsRate))</f>
        <v>51557.8318862413</v>
      </c>
      <c r="O150" s="29">
        <f>'FF Deposit'!O150+IF(Components!P150&gt;0,N150-Components!P150,N150*(1+EarningsRate))</f>
        <v>57904.769001791326</v>
      </c>
      <c r="P150" s="29">
        <f>'FF Deposit'!P150+IF(Components!Q150&gt;0,O150-Components!Q150,O150*(1+EarningsRate))</f>
        <v>7424.4749417864632</v>
      </c>
      <c r="Q150" s="29">
        <f>'FF Deposit'!Q150+IF(Components!R150&gt;0,P150-Components!R150,P150*(1+EarningsRate))</f>
        <v>15006.094855559115</v>
      </c>
      <c r="R150" s="29">
        <f>'FF Deposit'!R150+IF(Components!S150&gt;0,Q150-Components!S150,Q150*(1+EarningsRate))</f>
        <v>22746.928787520992</v>
      </c>
      <c r="S150" s="29">
        <f>'FF Deposit'!S150+IF(Components!T150&gt;0,R150-Components!T150,R150*(1+EarningsRate))</f>
        <v>30650.320232054066</v>
      </c>
      <c r="T150" s="29">
        <f>'FF Deposit'!T150+IF(Components!U150&gt;0,S150-Components!U150,S150*(1+EarningsRate))</f>
        <v>38719.682896922335</v>
      </c>
      <c r="U150" s="29">
        <f>'FF Deposit'!U150+IF(Components!V150&gt;0,T150-Components!V150,T150*(1+EarningsRate))</f>
        <v>46958.502177752838</v>
      </c>
      <c r="V150" s="29">
        <f>'FF Deposit'!V150+IF(Components!W150&gt;0,U150-Components!W150,U150*(1+EarningsRate))</f>
        <v>55370.336663480783</v>
      </c>
      <c r="W150" s="29">
        <f>'FF Deposit'!W150+IF(Components!X150&gt;0,V150-Components!X150,V150*(1+EarningsRate))</f>
        <v>63958.819673409016</v>
      </c>
      <c r="X150" s="29">
        <f>'FF Deposit'!X150+IF(Components!Y150&gt;0,W150-Components!Y150,W150*(1+EarningsRate))</f>
        <v>72727.660826545733</v>
      </c>
      <c r="Y150" s="29">
        <f>'FF Deposit'!Y150+IF(Components!Z150&gt;0,X150-Components!Z150,X150*(1+EarningsRate))</f>
        <v>81680.647643898323</v>
      </c>
      <c r="Z150" s="29">
        <f>'FF Deposit'!Z150+IF(Components!AA150&gt;0,Y150-Components!AA150,Y150*(1+EarningsRate))</f>
        <v>10473.32233375227</v>
      </c>
      <c r="AA150" s="29">
        <f>'FF Deposit'!AA150+IF(Components!AB150&gt;0,Z150-Components!AB150,Z150*(1+EarningsRate))</f>
        <v>21167.936792615015</v>
      </c>
      <c r="AB150" s="29">
        <f>'FF Deposit'!AB150+IF(Components!AC150&gt;0,AA150-Components!AC150,AA150*(1+EarningsRate))</f>
        <v>32087.138155113877</v>
      </c>
      <c r="AC150" s="29">
        <f>'FF Deposit'!AC150+IF(Components!AD150&gt;0,AB150-Components!AD150,AB150*(1+EarningsRate))</f>
        <v>43235.64274622521</v>
      </c>
      <c r="AD150" s="29">
        <f>'FF Deposit'!AD150+IF(Components!AE150&gt;0,AC150-Components!AE150,AC150*(1+EarningsRate))</f>
        <v>54618.265933749884</v>
      </c>
      <c r="AE150" s="29">
        <f>'FF Deposit'!AE150+IF(Components!AF150&gt;0,AD150-Components!AF150,AD150*(1+EarningsRate))</f>
        <v>66239.924208212571</v>
      </c>
      <c r="AF150" s="29">
        <f>'FF Deposit'!AF150+IF(Components!AG150&gt;0,AE150-Components!AG150,AE150*(1+EarningsRate))</f>
        <v>78105.637306438977</v>
      </c>
      <c r="AG150" s="29">
        <f>'FF Deposit'!AG150+IF(Components!AH150&gt;0,AF150-Components!AH150,AF150*(1+EarningsRate))</f>
        <v>90220.530379728138</v>
      </c>
      <c r="AH150" s="29">
        <f>'FF Deposit'!AH150+IF(Components!AI150&gt;0,AG150-Components!AI150,AG150*(1+EarningsRate))</f>
        <v>102589.83620755636</v>
      </c>
      <c r="AI150" s="29">
        <f>'FF Deposit'!AI150+IF(Components!AJ150&gt;0,AH150-Components!AJ150,AH150*(1+EarningsRate))</f>
        <v>115218.89745776898</v>
      </c>
      <c r="AJ150" s="29">
        <f>'FF Deposit'!AJ150+IF(Components!AK150&gt;0,AI150-Components!AK150,AI150*(1+EarningsRate))</f>
        <v>14774.392888402066</v>
      </c>
      <c r="AK150" s="29">
        <f>'FF Deposit'!AK150+IF(Components!AL150&gt;0,AJ150-Components!AL150,AJ150*(1+EarningsRate))</f>
        <v>29860.150569691592</v>
      </c>
      <c r="AL150" s="29">
        <f>'FF Deposit'!AL150+IF(Components!AM150&gt;0,AK150-Components!AM150,AK150*(1+EarningsRate))</f>
        <v>45262.7091622882</v>
      </c>
      <c r="AM150" s="29">
        <f>'FF Deposit'!AM150+IF(Components!AN150&gt;0,AL150-Components!AN150,AL150*(1+EarningsRate))</f>
        <v>60988.721485329334</v>
      </c>
      <c r="AN150" s="29">
        <f>'FF Deposit'!AN150+IF(Components!AO150&gt;0,AM150-Components!AO150,AM150*(1+EarningsRate))</f>
        <v>77044.980067154334</v>
      </c>
      <c r="AO150" s="29">
        <f>'FF Deposit'!AO150+IF(Components!AP150&gt;0,AN150-Components!AP150,AN150*(1+EarningsRate))</f>
        <v>93438.420079197662</v>
      </c>
      <c r="AP150" s="53"/>
    </row>
    <row r="151" spans="1:42" s="1" customFormat="1">
      <c r="A151" s="220" t="str">
        <f>Components!B151</f>
        <v>Golf Equip</v>
      </c>
      <c r="B151" s="220" t="str">
        <f>Components!C151</f>
        <v>Mower, triplex # 601</v>
      </c>
      <c r="C151" s="211"/>
      <c r="D151" s="211"/>
      <c r="E151" s="82">
        <f>AnalysisYear-Components!I151-Components!J151</f>
        <v>10</v>
      </c>
      <c r="F151" s="82">
        <f>IF(H151&lt;0,Components!K151-MOD(AnalysisYear-Components!I151-Components!J151,Components!K151),AnalysisYear-Components!I151-Components!J151)</f>
        <v>10</v>
      </c>
      <c r="G151" s="11">
        <f>ROUND(Components!H151*IF(H151&lt;0,((1+InflationRate)^F151),((1+InflationRate)^H151)),0)</f>
        <v>57190</v>
      </c>
      <c r="H151" s="82">
        <f>IF(E151&gt;=0,Components!K151-E151,E151)</f>
        <v>10</v>
      </c>
      <c r="I151" s="82"/>
      <c r="J151" s="211"/>
      <c r="K151" s="29">
        <f>IF($H151&gt;0,FV(EarningsRate,F151,-'FF Deposit'!L151,1),Components!$H151)</f>
        <v>25633.034320269591</v>
      </c>
      <c r="L151" s="29">
        <f>'FF Deposit'!L151+IF(Components!M151&gt;0,K151-Components!M151,K151*(1+EarningsRate))</f>
        <v>28501.733871160355</v>
      </c>
      <c r="M151" s="29">
        <f>'FF Deposit'!M151+IF(Components!N151&gt;0,L151-Components!N151,L151*(1+EarningsRate))</f>
        <v>31430.676112619825</v>
      </c>
      <c r="N151" s="29">
        <f>'FF Deposit'!N151+IF(Components!O151&gt;0,M151-Components!O151,M151*(1+EarningsRate))</f>
        <v>34421.126141149944</v>
      </c>
      <c r="O151" s="29">
        <f>'FF Deposit'!O151+IF(Components!P151&gt;0,N151-Components!P151,N151*(1+EarningsRate))</f>
        <v>37474.375620279199</v>
      </c>
      <c r="P151" s="29">
        <f>'FF Deposit'!P151+IF(Components!Q151&gt;0,O151-Components!Q151,O151*(1+EarningsRate))</f>
        <v>40591.743338470165</v>
      </c>
      <c r="Q151" s="29">
        <f>'FF Deposit'!Q151+IF(Components!R151&gt;0,P151-Components!R151,P151*(1+EarningsRate))</f>
        <v>43774.575778743143</v>
      </c>
      <c r="R151" s="29">
        <f>'FF Deposit'!R151+IF(Components!S151&gt;0,Q151-Components!S151,Q151*(1+EarningsRate))</f>
        <v>47024.247700261854</v>
      </c>
      <c r="S151" s="29">
        <f>'FF Deposit'!S151+IF(Components!T151&gt;0,R151-Components!T151,R151*(1+EarningsRate))</f>
        <v>50342.162732132456</v>
      </c>
      <c r="T151" s="29">
        <f>'FF Deposit'!T151+IF(Components!U151&gt;0,S151-Components!U151,S151*(1+EarningsRate))</f>
        <v>53729.753979672343</v>
      </c>
      <c r="U151" s="29">
        <f>'FF Deposit'!U151+IF(Components!V151&gt;0,T151-Components!V151,T151*(1+EarningsRate))</f>
        <v>57188.484643410564</v>
      </c>
      <c r="V151" s="29">
        <f>'FF Deposit'!V151+IF(Components!W151&gt;0,U151-Components!W151,U151*(1+EarningsRate))</f>
        <v>4635.5002116289652</v>
      </c>
      <c r="W151" s="29">
        <f>'FF Deposit'!W151+IF(Components!X151&gt;0,V151-Components!X151,V151*(1+EarningsRate))</f>
        <v>9369.8612842915754</v>
      </c>
      <c r="X151" s="29">
        <f>'FF Deposit'!X151+IF(Components!Y151&gt;0,W151-Components!Y151,W151*(1+EarningsRate))</f>
        <v>14203.643939480098</v>
      </c>
      <c r="Y151" s="29">
        <f>'FF Deposit'!Y151+IF(Components!Z151&gt;0,X151-Components!Z151,X151*(1+EarningsRate))</f>
        <v>19138.93603042758</v>
      </c>
      <c r="Z151" s="29">
        <f>'FF Deposit'!Z151+IF(Components!AA151&gt;0,Y151-Components!AA151,Y151*(1+EarningsRate))</f>
        <v>24177.869255284957</v>
      </c>
      <c r="AA151" s="29">
        <f>'FF Deposit'!AA151+IF(Components!AB151&gt;0,Z151-Components!AB151,Z151*(1+EarningsRate))</f>
        <v>29322.62007786434</v>
      </c>
      <c r="AB151" s="29">
        <f>'FF Deposit'!AB151+IF(Components!AC151&gt;0,AA151-Components!AC151,AA151*(1+EarningsRate))</f>
        <v>34575.410667717893</v>
      </c>
      <c r="AC151" s="29">
        <f>'FF Deposit'!AC151+IF(Components!AD151&gt;0,AB151-Components!AD151,AB151*(1+EarningsRate))</f>
        <v>39938.509859958373</v>
      </c>
      <c r="AD151" s="29">
        <f>'FF Deposit'!AD151+IF(Components!AE151&gt;0,AC151-Components!AE151,AC151*(1+EarningsRate))</f>
        <v>45414.234135235893</v>
      </c>
      <c r="AE151" s="29">
        <f>'FF Deposit'!AE151+IF(Components!AF151&gt;0,AD151-Components!AF151,AD151*(1+EarningsRate))</f>
        <v>51004.94862029425</v>
      </c>
      <c r="AF151" s="29">
        <f>'FF Deposit'!AF151+IF(Components!AG151&gt;0,AE151-Components!AG151,AE151*(1+EarningsRate))</f>
        <v>56713.068109538828</v>
      </c>
      <c r="AG151" s="29">
        <f>'FF Deposit'!AG151+IF(Components!AH151&gt;0,AF151-Components!AH151,AF151*(1+EarningsRate))</f>
        <v>62541.058108057536</v>
      </c>
      <c r="AH151" s="29">
        <f>'FF Deposit'!AH151+IF(Components!AI151&gt;0,AG151-Components!AI151,AG151*(1+EarningsRate))</f>
        <v>68491.435896545139</v>
      </c>
      <c r="AI151" s="29">
        <f>'FF Deposit'!AI151+IF(Components!AJ151&gt;0,AH151-Components!AJ151,AH151*(1+EarningsRate))</f>
        <v>74566.771618590981</v>
      </c>
      <c r="AJ151" s="29">
        <f>'FF Deposit'!AJ151+IF(Components!AK151&gt;0,AI151-Components!AK151,AI151*(1+EarningsRate))</f>
        <v>80769.689390799787</v>
      </c>
      <c r="AK151" s="29">
        <f>'FF Deposit'!AK151+IF(Components!AL151&gt;0,AJ151-Components!AL151,AJ151*(1+EarningsRate))</f>
        <v>87102.868436224977</v>
      </c>
      <c r="AL151" s="29">
        <f>'FF Deposit'!AL151+IF(Components!AM151&gt;0,AK151-Components!AM151,AK151*(1+EarningsRate))</f>
        <v>93569.04424160409</v>
      </c>
      <c r="AM151" s="29">
        <f>'FF Deposit'!AM151+IF(Components!AN151&gt;0,AL151-Components!AN151,AL151*(1+EarningsRate))</f>
        <v>100171.00973889616</v>
      </c>
      <c r="AN151" s="29">
        <f>'FF Deposit'!AN151+IF(Components!AO151&gt;0,AM151-Components!AO151,AM151*(1+EarningsRate))</f>
        <v>106911.61651163136</v>
      </c>
      <c r="AO151" s="29">
        <f>'FF Deposit'!AO151+IF(Components!AP151&gt;0,AN151-Components!AP151,AN151*(1+EarningsRate))</f>
        <v>113793.77602659402</v>
      </c>
      <c r="AP151" s="53"/>
    </row>
    <row r="152" spans="1:42" s="1" customFormat="1">
      <c r="A152" s="220" t="str">
        <f>Components!B152</f>
        <v>Golf Equip</v>
      </c>
      <c r="B152" s="220" t="str">
        <f>Components!C152</f>
        <v xml:space="preserve">Mower, triplex # 605 </v>
      </c>
      <c r="C152" s="211"/>
      <c r="D152" s="211"/>
      <c r="E152" s="82">
        <f>AnalysisYear-Components!I152-Components!J152</f>
        <v>4</v>
      </c>
      <c r="F152" s="82">
        <f>IF(H152&lt;0,Components!K152-MOD(AnalysisYear-Components!I152-Components!J152,Components!K152),AnalysisYear-Components!I152-Components!J152)</f>
        <v>4</v>
      </c>
      <c r="G152" s="11">
        <f>ROUND(Components!H152*IF(H152&lt;0,((1+InflationRate)^F152),((1+InflationRate)^H152)),0)</f>
        <v>70301</v>
      </c>
      <c r="H152" s="82">
        <f>IF(E152&gt;=0,Components!K152-E152,E152)</f>
        <v>16</v>
      </c>
      <c r="I152" s="82"/>
      <c r="J152" s="211"/>
      <c r="K152" s="29">
        <f>IF($H152&gt;0,FV(EarningsRate,F152,-'FF Deposit'!L152,1),Components!$H152)</f>
        <v>11823.577009035718</v>
      </c>
      <c r="L152" s="29">
        <f>'FF Deposit'!L152+IF(Components!M152&gt;0,K152-Components!M152,K152*(1+EarningsRate))</f>
        <v>14936.531337039196</v>
      </c>
      <c r="M152" s="29">
        <f>'FF Deposit'!M152+IF(Components!N152&gt;0,L152-Components!N152,L152*(1+EarningsRate))</f>
        <v>18114.857705930746</v>
      </c>
      <c r="N152" s="29">
        <f>'FF Deposit'!N152+IF(Components!O152&gt;0,M152-Components!O152,M152*(1+EarningsRate))</f>
        <v>21359.928928569021</v>
      </c>
      <c r="O152" s="29">
        <f>'FF Deposit'!O152+IF(Components!P152&gt;0,N152-Components!P152,N152*(1+EarningsRate))</f>
        <v>24673.146646882698</v>
      </c>
      <c r="P152" s="29">
        <f>'FF Deposit'!P152+IF(Components!Q152&gt;0,O152-Components!Q152,O152*(1+EarningsRate))</f>
        <v>28055.941937280964</v>
      </c>
      <c r="Q152" s="29">
        <f>'FF Deposit'!Q152+IF(Components!R152&gt;0,P152-Components!R152,P152*(1+EarningsRate))</f>
        <v>31509.775928777592</v>
      </c>
      <c r="R152" s="29">
        <f>'FF Deposit'!R152+IF(Components!S152&gt;0,Q152-Components!S152,Q152*(1+EarningsRate))</f>
        <v>35036.140434095643</v>
      </c>
      <c r="S152" s="29">
        <f>'FF Deposit'!S152+IF(Components!T152&gt;0,R152-Components!T152,R152*(1+EarningsRate))</f>
        <v>38636.558594025373</v>
      </c>
      <c r="T152" s="29">
        <f>'FF Deposit'!T152+IF(Components!U152&gt;0,S152-Components!U152,S152*(1+EarningsRate))</f>
        <v>42312.585535313628</v>
      </c>
      <c r="U152" s="29">
        <f>'FF Deposit'!U152+IF(Components!V152&gt;0,T152-Components!V152,T152*(1+EarningsRate))</f>
        <v>46065.809042368935</v>
      </c>
      <c r="V152" s="29">
        <f>'FF Deposit'!V152+IF(Components!W152&gt;0,U152-Components!W152,U152*(1+EarningsRate))</f>
        <v>49897.850243072404</v>
      </c>
      <c r="W152" s="29">
        <f>'FF Deposit'!W152+IF(Components!X152&gt;0,V152-Components!X152,V152*(1+EarningsRate))</f>
        <v>53810.364308990647</v>
      </c>
      <c r="X152" s="29">
        <f>'FF Deposit'!X152+IF(Components!Y152&gt;0,W152-Components!Y152,W152*(1+EarningsRate))</f>
        <v>57805.041170293174</v>
      </c>
      <c r="Y152" s="29">
        <f>'FF Deposit'!Y152+IF(Components!Z152&gt;0,X152-Components!Z152,X152*(1+EarningsRate))</f>
        <v>61883.606245683055</v>
      </c>
      <c r="Z152" s="29">
        <f>'FF Deposit'!Z152+IF(Components!AA152&gt;0,Y152-Components!AA152,Y152*(1+EarningsRate))</f>
        <v>66047.821187656125</v>
      </c>
      <c r="AA152" s="29">
        <f>'FF Deposit'!AA152+IF(Components!AB152&gt;0,Z152-Components!AB152,Z152*(1+EarningsRate))</f>
        <v>70299.484643410629</v>
      </c>
      <c r="AB152" s="29">
        <f>'FF Deposit'!AB152+IF(Components!AC152&gt;0,AA152-Components!AC152,AA152*(1+EarningsRate))</f>
        <v>5698.5516387126372</v>
      </c>
      <c r="AC152" s="29">
        <f>'FF Deposit'!AC152+IF(Components!AD152&gt;0,AB152-Components!AD152,AB152*(1+EarningsRate))</f>
        <v>11518.28821842761</v>
      </c>
      <c r="AD152" s="29">
        <f>'FF Deposit'!AD152+IF(Components!AE152&gt;0,AC152-Components!AE152,AC152*(1+EarningsRate))</f>
        <v>17460.239266316596</v>
      </c>
      <c r="AE152" s="29">
        <f>'FF Deposit'!AE152+IF(Components!AF152&gt;0,AD152-Components!AF152,AD152*(1+EarningsRate))</f>
        <v>23526.97128621125</v>
      </c>
      <c r="AF152" s="29">
        <f>'FF Deposit'!AF152+IF(Components!AG152&gt;0,AE152-Components!AG152,AE152*(1+EarningsRate))</f>
        <v>29721.10467852369</v>
      </c>
      <c r="AG152" s="29">
        <f>'FF Deposit'!AG152+IF(Components!AH152&gt;0,AF152-Components!AH152,AF152*(1+EarningsRate))</f>
        <v>36045.314872074698</v>
      </c>
      <c r="AH152" s="29">
        <f>'FF Deposit'!AH152+IF(Components!AI152&gt;0,AG152-Components!AI152,AG152*(1+EarningsRate))</f>
        <v>42502.333479690264</v>
      </c>
      <c r="AI152" s="29">
        <f>'FF Deposit'!AI152+IF(Components!AJ152&gt;0,AH152-Components!AJ152,AH152*(1+EarningsRate))</f>
        <v>49094.94947806577</v>
      </c>
      <c r="AJ152" s="29">
        <f>'FF Deposit'!AJ152+IF(Components!AK152&gt;0,AI152-Components!AK152,AI152*(1+EarningsRate))</f>
        <v>55826.010412407151</v>
      </c>
      <c r="AK152" s="29">
        <f>'FF Deposit'!AK152+IF(Components!AL152&gt;0,AJ152-Components!AL152,AJ152*(1+EarningsRate))</f>
        <v>62698.423626369709</v>
      </c>
      <c r="AL152" s="29">
        <f>'FF Deposit'!AL152+IF(Components!AM152&gt;0,AK152-Components!AM152,AK152*(1+EarningsRate))</f>
        <v>69715.157517825472</v>
      </c>
      <c r="AM152" s="29">
        <f>'FF Deposit'!AM152+IF(Components!AN152&gt;0,AL152-Components!AN152,AL152*(1+EarningsRate))</f>
        <v>76879.242821001812</v>
      </c>
      <c r="AN152" s="29">
        <f>'FF Deposit'!AN152+IF(Components!AO152&gt;0,AM152-Components!AO152,AM152*(1+EarningsRate))</f>
        <v>84193.773915544851</v>
      </c>
      <c r="AO152" s="29">
        <f>'FF Deposit'!AO152+IF(Components!AP152&gt;0,AN152-Components!AP152,AN152*(1+EarningsRate))</f>
        <v>91661.910163073291</v>
      </c>
      <c r="AP152" s="53"/>
    </row>
    <row r="153" spans="1:42" s="1" customFormat="1">
      <c r="A153" s="220" t="str">
        <f>Components!B153</f>
        <v>Golf Equip</v>
      </c>
      <c r="B153" s="220" t="str">
        <f>Components!C153</f>
        <v>Mower, triplex # 606</v>
      </c>
      <c r="C153" s="211"/>
      <c r="D153" s="211"/>
      <c r="E153" s="82">
        <f>AnalysisYear-Components!I153-Components!J153</f>
        <v>4</v>
      </c>
      <c r="F153" s="82">
        <f>IF(H153&lt;0,Components!K153-MOD(AnalysisYear-Components!I153-Components!J153,Components!K153),AnalysisYear-Components!I153-Components!J153)</f>
        <v>4</v>
      </c>
      <c r="G153" s="11">
        <f>ROUND(Components!H153*IF(H153&lt;0,((1+InflationRate)^F153),((1+InflationRate)^H153)),0)</f>
        <v>70301</v>
      </c>
      <c r="H153" s="82">
        <f>IF(E153&gt;=0,Components!K153-E153,E153)</f>
        <v>16</v>
      </c>
      <c r="I153" s="82"/>
      <c r="J153" s="211"/>
      <c r="K153" s="29">
        <f>IF($H153&gt;0,FV(EarningsRate,F153,-'FF Deposit'!L153,1),Components!$H153)</f>
        <v>11823.577009035718</v>
      </c>
      <c r="L153" s="29">
        <f>'FF Deposit'!L153+IF(Components!M153&gt;0,K153-Components!M153,K153*(1+EarningsRate))</f>
        <v>14936.531337039196</v>
      </c>
      <c r="M153" s="29">
        <f>'FF Deposit'!M153+IF(Components!N153&gt;0,L153-Components!N153,L153*(1+EarningsRate))</f>
        <v>18114.857705930746</v>
      </c>
      <c r="N153" s="29">
        <f>'FF Deposit'!N153+IF(Components!O153&gt;0,M153-Components!O153,M153*(1+EarningsRate))</f>
        <v>21359.928928569021</v>
      </c>
      <c r="O153" s="29">
        <f>'FF Deposit'!O153+IF(Components!P153&gt;0,N153-Components!P153,N153*(1+EarningsRate))</f>
        <v>24673.146646882698</v>
      </c>
      <c r="P153" s="29">
        <f>'FF Deposit'!P153+IF(Components!Q153&gt;0,O153-Components!Q153,O153*(1+EarningsRate))</f>
        <v>28055.941937280964</v>
      </c>
      <c r="Q153" s="29">
        <f>'FF Deposit'!Q153+IF(Components!R153&gt;0,P153-Components!R153,P153*(1+EarningsRate))</f>
        <v>31509.775928777592</v>
      </c>
      <c r="R153" s="29">
        <f>'FF Deposit'!R153+IF(Components!S153&gt;0,Q153-Components!S153,Q153*(1+EarningsRate))</f>
        <v>35036.140434095643</v>
      </c>
      <c r="S153" s="29">
        <f>'FF Deposit'!S153+IF(Components!T153&gt;0,R153-Components!T153,R153*(1+EarningsRate))</f>
        <v>38636.558594025373</v>
      </c>
      <c r="T153" s="29">
        <f>'FF Deposit'!T153+IF(Components!U153&gt;0,S153-Components!U153,S153*(1+EarningsRate))</f>
        <v>42312.585535313628</v>
      </c>
      <c r="U153" s="29">
        <f>'FF Deposit'!U153+IF(Components!V153&gt;0,T153-Components!V153,T153*(1+EarningsRate))</f>
        <v>46065.809042368935</v>
      </c>
      <c r="V153" s="29">
        <f>'FF Deposit'!V153+IF(Components!W153&gt;0,U153-Components!W153,U153*(1+EarningsRate))</f>
        <v>49897.850243072404</v>
      </c>
      <c r="W153" s="29">
        <f>'FF Deposit'!W153+IF(Components!X153&gt;0,V153-Components!X153,V153*(1+EarningsRate))</f>
        <v>53810.364308990647</v>
      </c>
      <c r="X153" s="29">
        <f>'FF Deposit'!X153+IF(Components!Y153&gt;0,W153-Components!Y153,W153*(1+EarningsRate))</f>
        <v>57805.041170293174</v>
      </c>
      <c r="Y153" s="29">
        <f>'FF Deposit'!Y153+IF(Components!Z153&gt;0,X153-Components!Z153,X153*(1+EarningsRate))</f>
        <v>61883.606245683055</v>
      </c>
      <c r="Z153" s="29">
        <f>'FF Deposit'!Z153+IF(Components!AA153&gt;0,Y153-Components!AA153,Y153*(1+EarningsRate))</f>
        <v>66047.821187656125</v>
      </c>
      <c r="AA153" s="29">
        <f>'FF Deposit'!AA153+IF(Components!AB153&gt;0,Z153-Components!AB153,Z153*(1+EarningsRate))</f>
        <v>70299.484643410629</v>
      </c>
      <c r="AB153" s="29">
        <f>'FF Deposit'!AB153+IF(Components!AC153&gt;0,AA153-Components!AC153,AA153*(1+EarningsRate))</f>
        <v>5698.5516387126372</v>
      </c>
      <c r="AC153" s="29">
        <f>'FF Deposit'!AC153+IF(Components!AD153&gt;0,AB153-Components!AD153,AB153*(1+EarningsRate))</f>
        <v>11518.28821842761</v>
      </c>
      <c r="AD153" s="29">
        <f>'FF Deposit'!AD153+IF(Components!AE153&gt;0,AC153-Components!AE153,AC153*(1+EarningsRate))</f>
        <v>17460.239266316596</v>
      </c>
      <c r="AE153" s="29">
        <f>'FF Deposit'!AE153+IF(Components!AF153&gt;0,AD153-Components!AF153,AD153*(1+EarningsRate))</f>
        <v>23526.97128621125</v>
      </c>
      <c r="AF153" s="29">
        <f>'FF Deposit'!AF153+IF(Components!AG153&gt;0,AE153-Components!AG153,AE153*(1+EarningsRate))</f>
        <v>29721.10467852369</v>
      </c>
      <c r="AG153" s="29">
        <f>'FF Deposit'!AG153+IF(Components!AH153&gt;0,AF153-Components!AH153,AF153*(1+EarningsRate))</f>
        <v>36045.314872074698</v>
      </c>
      <c r="AH153" s="29">
        <f>'FF Deposit'!AH153+IF(Components!AI153&gt;0,AG153-Components!AI153,AG153*(1+EarningsRate))</f>
        <v>42502.333479690264</v>
      </c>
      <c r="AI153" s="29">
        <f>'FF Deposit'!AI153+IF(Components!AJ153&gt;0,AH153-Components!AJ153,AH153*(1+EarningsRate))</f>
        <v>49094.94947806577</v>
      </c>
      <c r="AJ153" s="29">
        <f>'FF Deposit'!AJ153+IF(Components!AK153&gt;0,AI153-Components!AK153,AI153*(1+EarningsRate))</f>
        <v>55826.010412407151</v>
      </c>
      <c r="AK153" s="29">
        <f>'FF Deposit'!AK153+IF(Components!AL153&gt;0,AJ153-Components!AL153,AJ153*(1+EarningsRate))</f>
        <v>62698.423626369709</v>
      </c>
      <c r="AL153" s="29">
        <f>'FF Deposit'!AL153+IF(Components!AM153&gt;0,AK153-Components!AM153,AK153*(1+EarningsRate))</f>
        <v>69715.157517825472</v>
      </c>
      <c r="AM153" s="29">
        <f>'FF Deposit'!AM153+IF(Components!AN153&gt;0,AL153-Components!AN153,AL153*(1+EarningsRate))</f>
        <v>76879.242821001812</v>
      </c>
      <c r="AN153" s="29">
        <f>'FF Deposit'!AN153+IF(Components!AO153&gt;0,AM153-Components!AO153,AM153*(1+EarningsRate))</f>
        <v>84193.773915544851</v>
      </c>
      <c r="AO153" s="29">
        <f>'FF Deposit'!AO153+IF(Components!AP153&gt;0,AN153-Components!AP153,AN153*(1+EarningsRate))</f>
        <v>91661.910163073291</v>
      </c>
      <c r="AP153" s="53"/>
    </row>
    <row r="154" spans="1:42" s="1" customFormat="1">
      <c r="A154" s="220" t="str">
        <f>Components!B154</f>
        <v>Golf Equip</v>
      </c>
      <c r="B154" s="220" t="str">
        <f>Components!C154</f>
        <v>Rake, bunker</v>
      </c>
      <c r="C154" s="211"/>
      <c r="D154" s="211"/>
      <c r="E154" s="82">
        <f>AnalysisYear-Components!I154-Components!J154</f>
        <v>7</v>
      </c>
      <c r="F154" s="82">
        <f>IF(H154&lt;0,Components!K154-MOD(AnalysisYear-Components!I154-Components!J154,Components!K154),AnalysisYear-Components!I154-Components!J154)</f>
        <v>7</v>
      </c>
      <c r="G154" s="11">
        <f>ROUND(Components!H154*IF(H154&lt;0,((1+InflationRate)^F154),((1+InflationRate)^H154)),0)</f>
        <v>32368</v>
      </c>
      <c r="H154" s="82">
        <f>IF(E154&gt;=0,Components!K154-E154,E154)</f>
        <v>6</v>
      </c>
      <c r="I154" s="82"/>
      <c r="J154" s="211"/>
      <c r="K154" s="29">
        <f>IF($H154&gt;0,FV(EarningsRate,F154,-'FF Deposit'!L154,1),Components!$H154)</f>
        <v>16338.998438863433</v>
      </c>
      <c r="L154" s="29">
        <f>'FF Deposit'!L154+IF(Components!M154&gt;0,K154-Components!M154,K154*(1+EarningsRate))</f>
        <v>18873.437485306484</v>
      </c>
      <c r="M154" s="29">
        <f>'FF Deposit'!M154+IF(Components!N154&gt;0,L154-Components!N154,L154*(1+EarningsRate))</f>
        <v>21461.09975172484</v>
      </c>
      <c r="N154" s="29">
        <f>'FF Deposit'!N154+IF(Components!O154&gt;0,M154-Components!O154,M154*(1+EarningsRate))</f>
        <v>24103.102925737978</v>
      </c>
      <c r="O154" s="29">
        <f>'FF Deposit'!O154+IF(Components!P154&gt;0,N154-Components!P154,N154*(1+EarningsRate))</f>
        <v>26800.588166405392</v>
      </c>
      <c r="P154" s="29">
        <f>'FF Deposit'!P154+IF(Components!Q154&gt;0,O154-Components!Q154,O154*(1+EarningsRate))</f>
        <v>29554.720597126823</v>
      </c>
      <c r="Q154" s="29">
        <f>'FF Deposit'!Q154+IF(Components!R154&gt;0,P154-Components!R154,P154*(1+EarningsRate))</f>
        <v>32366.689808893403</v>
      </c>
      <c r="R154" s="29">
        <f>'FF Deposit'!R154+IF(Components!S154&gt;0,Q154-Components!S154,Q154*(1+EarningsRate))</f>
        <v>3425.8181269746178</v>
      </c>
      <c r="S154" s="29">
        <f>'FF Deposit'!S154+IF(Components!T154&gt;0,R154-Components!T154,R154*(1+EarningsRate))</f>
        <v>6924.8886257222994</v>
      </c>
      <c r="T154" s="29">
        <f>'FF Deposit'!T154+IF(Components!U154&gt;0,S154-Components!U154,S154*(1+EarningsRate))</f>
        <v>10497.439604943682</v>
      </c>
      <c r="U154" s="29">
        <f>'FF Deposit'!U154+IF(Components!V154&gt;0,T154-Components!V154,T154*(1+EarningsRate))</f>
        <v>14145.014154728713</v>
      </c>
      <c r="V154" s="29">
        <f>'FF Deposit'!V154+IF(Components!W154&gt;0,U154-Components!W154,U154*(1+EarningsRate))</f>
        <v>17869.18777005923</v>
      </c>
      <c r="W154" s="29">
        <f>'FF Deposit'!W154+IF(Components!X154&gt;0,V154-Components!X154,V154*(1+EarningsRate))</f>
        <v>21671.569031311687</v>
      </c>
      <c r="X154" s="29">
        <f>'FF Deposit'!X154+IF(Components!Y154&gt;0,W154-Components!Y154,W154*(1+EarningsRate))</f>
        <v>25553.800299050443</v>
      </c>
      <c r="Y154" s="29">
        <f>'FF Deposit'!Y154+IF(Components!Z154&gt;0,X154-Components!Z154,X154*(1+EarningsRate))</f>
        <v>29517.558423411712</v>
      </c>
      <c r="Z154" s="29">
        <f>'FF Deposit'!Z154+IF(Components!AA154&gt;0,Y154-Components!AA154,Y154*(1+EarningsRate))</f>
        <v>33564.555468384569</v>
      </c>
      <c r="AA154" s="29">
        <f>'FF Deposit'!AA154+IF(Components!AB154&gt;0,Z154-Components!AB154,Z154*(1+EarningsRate))</f>
        <v>37696.539451301862</v>
      </c>
      <c r="AB154" s="29">
        <f>'FF Deposit'!AB154+IF(Components!AC154&gt;0,AA154-Components!AC154,AA154*(1+EarningsRate))</f>
        <v>41915.295097860413</v>
      </c>
      <c r="AC154" s="29">
        <f>'FF Deposit'!AC154+IF(Components!AD154&gt;0,AB154-Components!AD154,AB154*(1+EarningsRate))</f>
        <v>46222.644612996693</v>
      </c>
      <c r="AD154" s="29">
        <f>'FF Deposit'!AD154+IF(Components!AE154&gt;0,AC154-Components!AE154,AC154*(1+EarningsRate))</f>
        <v>50620.448467950839</v>
      </c>
      <c r="AE154" s="29">
        <f>'FF Deposit'!AE154+IF(Components!AF154&gt;0,AD154-Components!AF154,AD154*(1+EarningsRate))</f>
        <v>5358.3128314551404</v>
      </c>
      <c r="AF154" s="29">
        <f>'FF Deposit'!AF154+IF(Components!AG154&gt;0,AE154-Components!AG154,AE154*(1+EarningsRate))</f>
        <v>10830.701764419999</v>
      </c>
      <c r="AG154" s="29">
        <f>'FF Deposit'!AG154+IF(Components!AH154&gt;0,AF154-Components!AH154,AF154*(1+EarningsRate))</f>
        <v>16418.010864977121</v>
      </c>
      <c r="AH154" s="29">
        <f>'FF Deposit'!AH154+IF(Components!AI154&gt;0,AG154-Components!AI154,AG154*(1+EarningsRate))</f>
        <v>22122.653456645941</v>
      </c>
      <c r="AI154" s="29">
        <f>'FF Deposit'!AI154+IF(Components!AJ154&gt;0,AH154-Components!AJ154,AH154*(1+EarningsRate))</f>
        <v>27947.093542739804</v>
      </c>
      <c r="AJ154" s="29">
        <f>'FF Deposit'!AJ154+IF(Components!AK154&gt;0,AI154-Components!AK154,AI154*(1+EarningsRate))</f>
        <v>33893.846870641639</v>
      </c>
      <c r="AK154" s="29">
        <f>'FF Deposit'!AK154+IF(Components!AL154&gt;0,AJ154-Components!AL154,AJ154*(1+EarningsRate))</f>
        <v>39965.482018429415</v>
      </c>
      <c r="AL154" s="29">
        <f>'FF Deposit'!AL154+IF(Components!AM154&gt;0,AK154-Components!AM154,AK154*(1+EarningsRate))</f>
        <v>46164.621504320734</v>
      </c>
      <c r="AM154" s="29">
        <f>'FF Deposit'!AM154+IF(Components!AN154&gt;0,AL154-Components!AN154,AL154*(1+EarningsRate))</f>
        <v>52493.942919415771</v>
      </c>
      <c r="AN154" s="29">
        <f>'FF Deposit'!AN154+IF(Components!AO154&gt;0,AM154-Components!AO154,AM154*(1+EarningsRate))</f>
        <v>58956.180084227803</v>
      </c>
      <c r="AO154" s="29">
        <f>'FF Deposit'!AO154+IF(Components!AP154&gt;0,AN154-Components!AP154,AN154*(1+EarningsRate))</f>
        <v>65554.124229500885</v>
      </c>
      <c r="AP154" s="53"/>
    </row>
    <row r="155" spans="1:42" s="1" customFormat="1">
      <c r="A155" s="220" t="str">
        <f>Components!B155</f>
        <v>Golf Equip</v>
      </c>
      <c r="B155" s="220" t="str">
        <f>Components!C155</f>
        <v>Skid Steer</v>
      </c>
      <c r="C155" s="211"/>
      <c r="D155" s="211"/>
      <c r="E155" s="82">
        <f>AnalysisYear-Components!I155-Components!J155</f>
        <v>5</v>
      </c>
      <c r="F155" s="82">
        <f>IF(H155&lt;0,Components!K155-MOD(AnalysisYear-Components!I155-Components!J155,Components!K155),AnalysisYear-Components!I155-Components!J155)</f>
        <v>5</v>
      </c>
      <c r="G155" s="11">
        <f>ROUND(Components!H155*IF(H155&lt;0,((1+InflationRate)^F155),((1+InflationRate)^H155)),0)</f>
        <v>96161</v>
      </c>
      <c r="H155" s="82">
        <f>IF(E155&gt;=0,Components!K155-E155,E155)</f>
        <v>15</v>
      </c>
      <c r="I155" s="82"/>
      <c r="J155" s="211"/>
      <c r="K155" s="29">
        <f>IF($H155&gt;0,FV(EarningsRate,F155,-'FF Deposit'!L155,1),Components!$H155)</f>
        <v>20431.295168827906</v>
      </c>
      <c r="L155" s="29">
        <f>'FF Deposit'!L155+IF(Components!M155&gt;0,K155-Components!M155,K155*(1+EarningsRate))</f>
        <v>24778.767388085071</v>
      </c>
      <c r="M155" s="29">
        <f>'FF Deposit'!M155+IF(Components!N155&gt;0,L155-Components!N155,L155*(1+EarningsRate))</f>
        <v>29217.536523946637</v>
      </c>
      <c r="N155" s="29">
        <f>'FF Deposit'!N155+IF(Components!O155&gt;0,M155-Components!O155,M155*(1+EarningsRate))</f>
        <v>33749.519811661296</v>
      </c>
      <c r="O155" s="29">
        <f>'FF Deposit'!O155+IF(Components!P155&gt;0,N155-Components!P155,N155*(1+EarningsRate))</f>
        <v>38376.674748417965</v>
      </c>
      <c r="P155" s="29">
        <f>'FF Deposit'!P155+IF(Components!Q155&gt;0,O155-Components!Q155,O155*(1+EarningsRate))</f>
        <v>43100.999938846522</v>
      </c>
      <c r="Q155" s="29">
        <f>'FF Deposit'!Q155+IF(Components!R155&gt;0,P155-Components!R155,P155*(1+EarningsRate))</f>
        <v>47924.535958274078</v>
      </c>
      <c r="R155" s="29">
        <f>'FF Deposit'!R155+IF(Components!S155&gt;0,Q155-Components!S155,Q155*(1+EarningsRate))</f>
        <v>52849.366234109606</v>
      </c>
      <c r="S155" s="29">
        <f>'FF Deposit'!S155+IF(Components!T155&gt;0,R155-Components!T155,R155*(1+EarningsRate))</f>
        <v>57877.617945737686</v>
      </c>
      <c r="T155" s="29">
        <f>'FF Deposit'!T155+IF(Components!U155&gt;0,S155-Components!U155,S155*(1+EarningsRate))</f>
        <v>63011.462943309947</v>
      </c>
      <c r="U155" s="29">
        <f>'FF Deposit'!U155+IF(Components!V155&gt;0,T155-Components!V155,T155*(1+EarningsRate))</f>
        <v>68253.118685831229</v>
      </c>
      <c r="V155" s="29">
        <f>'FF Deposit'!V155+IF(Components!W155&gt;0,U155-Components!W155,U155*(1+EarningsRate))</f>
        <v>73604.849198945463</v>
      </c>
      <c r="W155" s="29">
        <f>'FF Deposit'!W155+IF(Components!X155&gt;0,V155-Components!X155,V155*(1+EarningsRate))</f>
        <v>79068.966052835094</v>
      </c>
      <c r="X155" s="29">
        <f>'FF Deposit'!X155+IF(Components!Y155&gt;0,W155-Components!Y155,W155*(1+EarningsRate))</f>
        <v>84647.829360656397</v>
      </c>
      <c r="Y155" s="29">
        <f>'FF Deposit'!Y155+IF(Components!Z155&gt;0,X155-Components!Z155,X155*(1+EarningsRate))</f>
        <v>90343.848797941944</v>
      </c>
      <c r="Z155" s="29">
        <f>'FF Deposit'!Z155+IF(Components!AA155&gt;0,Y155-Components!AA155,Y155*(1+EarningsRate))</f>
        <v>96159.484643410498</v>
      </c>
      <c r="AA155" s="29">
        <f>'FF Deposit'!AA155+IF(Components!AB155&gt;0,Z155-Components!AB155,Z155*(1+EarningsRate))</f>
        <v>7795.3032140600826</v>
      </c>
      <c r="AB155" s="29">
        <f>'FF Deposit'!AB155+IF(Components!AC155&gt;0,AA155-Components!AC155,AA155*(1+EarningsRate))</f>
        <v>15755.823152204928</v>
      </c>
      <c r="AC155" s="29">
        <f>'FF Deposit'!AC155+IF(Components!AD155&gt;0,AB155-Components!AD155,AB155*(1+EarningsRate))</f>
        <v>23883.514009050814</v>
      </c>
      <c r="AD155" s="29">
        <f>'FF Deposit'!AD155+IF(Components!AE155&gt;0,AC155-Components!AE155,AC155*(1+EarningsRate))</f>
        <v>32181.886373890462</v>
      </c>
      <c r="AE155" s="29">
        <f>'FF Deposit'!AE155+IF(Components!AF155&gt;0,AD155-Components!AF155,AD155*(1+EarningsRate))</f>
        <v>40654.524558391742</v>
      </c>
      <c r="AF155" s="29">
        <f>'FF Deposit'!AF155+IF(Components!AG155&gt;0,AE155-Components!AG155,AE155*(1+EarningsRate))</f>
        <v>49305.088144767549</v>
      </c>
      <c r="AG155" s="29">
        <f>'FF Deposit'!AG155+IF(Components!AH155&gt;0,AF155-Components!AH155,AF155*(1+EarningsRate))</f>
        <v>58137.313566457247</v>
      </c>
      <c r="AH155" s="29">
        <f>'FF Deposit'!AH155+IF(Components!AI155&gt;0,AG155-Components!AI155,AG155*(1+EarningsRate))</f>
        <v>67155.015722002427</v>
      </c>
      <c r="AI155" s="29">
        <f>'FF Deposit'!AI155+IF(Components!AJ155&gt;0,AH155-Components!AJ155,AH155*(1+EarningsRate))</f>
        <v>76362.089622814063</v>
      </c>
      <c r="AJ155" s="29">
        <f>'FF Deposit'!AJ155+IF(Components!AK155&gt;0,AI155-Components!AK155,AI155*(1+EarningsRate))</f>
        <v>85762.512075542734</v>
      </c>
      <c r="AK155" s="29">
        <f>'FF Deposit'!AK155+IF(Components!AL155&gt;0,AJ155-Components!AL155,AJ155*(1+EarningsRate))</f>
        <v>95360.343399778707</v>
      </c>
      <c r="AL155" s="29">
        <f>'FF Deposit'!AL155+IF(Components!AM155&gt;0,AK155-Components!AM155,AK155*(1+EarningsRate))</f>
        <v>105159.72918182364</v>
      </c>
      <c r="AM155" s="29">
        <f>'FF Deposit'!AM155+IF(Components!AN155&gt;0,AL155-Components!AN155,AL155*(1+EarningsRate))</f>
        <v>115164.90206529152</v>
      </c>
      <c r="AN155" s="29">
        <f>'FF Deposit'!AN155+IF(Components!AO155&gt;0,AM155-Components!AO155,AM155*(1+EarningsRate))</f>
        <v>125380.18357931222</v>
      </c>
      <c r="AO155" s="29">
        <f>'FF Deposit'!AO155+IF(Components!AP155&gt;0,AN155-Components!AP155,AN155*(1+EarningsRate))</f>
        <v>135809.98600512734</v>
      </c>
      <c r="AP155" s="53"/>
    </row>
    <row r="156" spans="1:42" s="1" customFormat="1">
      <c r="A156" s="220" t="str">
        <f>Components!B156</f>
        <v>Golf Equip</v>
      </c>
      <c r="B156" s="220" t="str">
        <f>Components!C156</f>
        <v>Spare Greens Reels</v>
      </c>
      <c r="C156" s="211"/>
      <c r="D156" s="211"/>
      <c r="E156" s="82">
        <f>AnalysisYear-Components!I156-Components!J156</f>
        <v>4</v>
      </c>
      <c r="F156" s="82">
        <f>IF(H156&lt;0,Components!K156-MOD(AnalysisYear-Components!I156-Components!J156,Components!K156),AnalysisYear-Components!I156-Components!J156)</f>
        <v>4</v>
      </c>
      <c r="G156" s="11">
        <f>ROUND(Components!H156*IF(H156&lt;0,((1+InflationRate)^F156),((1+InflationRate)^H156)),0)</f>
        <v>13106</v>
      </c>
      <c r="H156" s="82">
        <f>IF(E156&gt;=0,Components!K156-E156,E156)</f>
        <v>6</v>
      </c>
      <c r="I156" s="82"/>
      <c r="J156" s="211"/>
      <c r="K156" s="29">
        <f>IF($H156&gt;0,FV(EarningsRate,F156,-'FF Deposit'!L156,1),Components!$H156)</f>
        <v>4917.0056744584545</v>
      </c>
      <c r="L156" s="29">
        <f>'FF Deposit'!L156+IF(Components!M156&gt;0,K156-Components!M156,K156*(1+EarningsRate))</f>
        <v>6211.7265797180989</v>
      </c>
      <c r="M156" s="29">
        <f>'FF Deposit'!M156+IF(Components!N156&gt;0,L156-Components!N156,L156*(1+EarningsRate))</f>
        <v>7533.6366239881972</v>
      </c>
      <c r="N156" s="29">
        <f>'FF Deposit'!N156+IF(Components!O156&gt;0,M156-Components!O156,M156*(1+EarningsRate))</f>
        <v>8883.3067791879657</v>
      </c>
      <c r="O156" s="29">
        <f>'FF Deposit'!O156+IF(Components!P156&gt;0,N156-Components!P156,N156*(1+EarningsRate))</f>
        <v>10261.320007646929</v>
      </c>
      <c r="P156" s="29">
        <f>'FF Deposit'!P156+IF(Components!Q156&gt;0,O156-Components!Q156,O156*(1+EarningsRate))</f>
        <v>11668.271513903532</v>
      </c>
      <c r="Q156" s="29">
        <f>'FF Deposit'!Q156+IF(Components!R156&gt;0,P156-Components!R156,P156*(1+EarningsRate))</f>
        <v>13104.769001791523</v>
      </c>
      <c r="R156" s="29">
        <f>'FF Deposit'!R156+IF(Components!S156&gt;0,Q156-Components!S156,Q156*(1+EarningsRate))</f>
        <v>1679.4463417835141</v>
      </c>
      <c r="S156" s="29">
        <f>'FF Deposit'!S156+IF(Components!T156&gt;0,R156-Components!T156,R156*(1+EarningsRate))</f>
        <v>3395.3920549529589</v>
      </c>
      <c r="T156" s="29">
        <f>'FF Deposit'!T156+IF(Components!U156&gt;0,S156-Components!U156,S156*(1+EarningsRate))</f>
        <v>5147.3726280989613</v>
      </c>
      <c r="U156" s="29">
        <f>'FF Deposit'!U156+IF(Components!V156&gt;0,T156-Components!V156,T156*(1+EarningsRate))</f>
        <v>6936.1447932810306</v>
      </c>
      <c r="V156" s="29">
        <f>'FF Deposit'!V156+IF(Components!W156&gt;0,U156-Components!W156,U156*(1+EarningsRate))</f>
        <v>8762.481173931923</v>
      </c>
      <c r="W156" s="29">
        <f>'FF Deposit'!W156+IF(Components!X156&gt;0,V156-Components!X156,V156*(1+EarningsRate))</f>
        <v>10627.170618576483</v>
      </c>
      <c r="X156" s="29">
        <f>'FF Deposit'!X156+IF(Components!Y156&gt;0,W156-Components!Y156,W156*(1+EarningsRate))</f>
        <v>12531.01854155858</v>
      </c>
      <c r="Y156" s="29">
        <f>'FF Deposit'!Y156+IF(Components!Z156&gt;0,X156-Components!Z156,X156*(1+EarningsRate))</f>
        <v>14474.847270923301</v>
      </c>
      <c r="Z156" s="29">
        <f>'FF Deposit'!Z156+IF(Components!AA156&gt;0,Y156-Components!AA156,Y156*(1+EarningsRate))</f>
        <v>16459.49640360468</v>
      </c>
      <c r="AA156" s="29">
        <f>'FF Deposit'!AA156+IF(Components!AB156&gt;0,Z156-Components!AB156,Z156*(1+EarningsRate))</f>
        <v>18485.823168072369</v>
      </c>
      <c r="AB156" s="29">
        <f>'FF Deposit'!AB156+IF(Components!AC156&gt;0,AA156-Components!AC156,AA156*(1+EarningsRate))</f>
        <v>2369.5451262924171</v>
      </c>
      <c r="AC156" s="29">
        <f>'FF Deposit'!AC156+IF(Components!AD156&gt;0,AB156-Components!AD156,AB156*(1+EarningsRate))</f>
        <v>4790.0275321646059</v>
      </c>
      <c r="AD156" s="29">
        <f>'FF Deposit'!AD156+IF(Components!AE156&gt;0,AC156-Components!AE156,AC156*(1+EarningsRate))</f>
        <v>7261.34006856011</v>
      </c>
      <c r="AE156" s="29">
        <f>'FF Deposit'!AE156+IF(Components!AF156&gt;0,AD156-Components!AF156,AD156*(1+EarningsRate))</f>
        <v>9784.5501682199192</v>
      </c>
      <c r="AF156" s="29">
        <f>'FF Deposit'!AF156+IF(Components!AG156&gt;0,AE156-Components!AG156,AE156*(1+EarningsRate))</f>
        <v>12360.747679972585</v>
      </c>
      <c r="AG156" s="29">
        <f>'FF Deposit'!AG156+IF(Components!AH156&gt;0,AF156-Components!AH156,AF156*(1+EarningsRate))</f>
        <v>14991.045339472057</v>
      </c>
      <c r="AH156" s="29">
        <f>'FF Deposit'!AH156+IF(Components!AI156&gt;0,AG156-Components!AI156,AG156*(1+EarningsRate))</f>
        <v>17676.579249821018</v>
      </c>
      <c r="AI156" s="29">
        <f>'FF Deposit'!AI156+IF(Components!AJ156&gt;0,AH156-Components!AJ156,AH156*(1+EarningsRate))</f>
        <v>20418.509372287306</v>
      </c>
      <c r="AJ156" s="29">
        <f>'FF Deposit'!AJ156+IF(Components!AK156&gt;0,AI156-Components!AK156,AI156*(1+EarningsRate))</f>
        <v>23218.020027325387</v>
      </c>
      <c r="AK156" s="29">
        <f>'FF Deposit'!AK156+IF(Components!AL156&gt;0,AJ156-Components!AL156,AJ156*(1+EarningsRate))</f>
        <v>26076.320406119266</v>
      </c>
      <c r="AL156" s="29">
        <f>'FF Deposit'!AL156+IF(Components!AM156&gt;0,AK156-Components!AM156,AK156*(1+EarningsRate))</f>
        <v>3342.4912952014542</v>
      </c>
      <c r="AM156" s="29">
        <f>'FF Deposit'!AM156+IF(Components!AN156&gt;0,AL156-Components!AN156,AL156*(1+EarningsRate))</f>
        <v>6756.8545014828724</v>
      </c>
      <c r="AN156" s="29">
        <f>'FF Deposit'!AN156+IF(Components!AO156&gt;0,AM156-Components!AO156,AM156*(1+EarningsRate))</f>
        <v>10242.9193350962</v>
      </c>
      <c r="AO156" s="29">
        <f>'FF Deposit'!AO156+IF(Components!AP156&gt;0,AN156-Components!AP156,AN156*(1+EarningsRate))</f>
        <v>13802.191530215407</v>
      </c>
      <c r="AP156" s="53"/>
    </row>
    <row r="157" spans="1:42" s="1" customFormat="1">
      <c r="A157" s="220" t="str">
        <f>Components!B157</f>
        <v>Golf Equip</v>
      </c>
      <c r="B157" s="220" t="str">
        <f>Components!C157</f>
        <v>Spare Tees Reels</v>
      </c>
      <c r="C157" s="211"/>
      <c r="D157" s="211"/>
      <c r="E157" s="82">
        <f>AnalysisYear-Components!I157-Components!J157</f>
        <v>1</v>
      </c>
      <c r="F157" s="82">
        <f>IF(H157&lt;0,Components!K157-MOD(AnalysisYear-Components!I157-Components!J157,Components!K157),AnalysisYear-Components!I157-Components!J157)</f>
        <v>1</v>
      </c>
      <c r="G157" s="11">
        <f>ROUND(Components!H157*IF(H157&lt;0,((1+InflationRate)^F157),((1+InflationRate)^H157)),0)</f>
        <v>13730</v>
      </c>
      <c r="H157" s="82">
        <f>IF(E157&gt;=0,Components!K157-E157,E157)</f>
        <v>9</v>
      </c>
      <c r="I157" s="82"/>
      <c r="J157" s="211"/>
      <c r="K157" s="29">
        <f>IF($H157&gt;0,FV(EarningsRate,F157,-'FF Deposit'!L157,1),Components!$H157)</f>
        <v>1247.1704987866822</v>
      </c>
      <c r="L157" s="29">
        <f>'FF Deposit'!L157+IF(Components!M157&gt;0,K157-Components!M157,K157*(1+EarningsRate))</f>
        <v>2521.5525780478902</v>
      </c>
      <c r="M157" s="29">
        <f>'FF Deposit'!M157+IF(Components!N157&gt;0,L157-Components!N157,L157*(1+EarningsRate))</f>
        <v>3822.6966809735832</v>
      </c>
      <c r="N157" s="29">
        <f>'FF Deposit'!N157+IF(Components!O157&gt;0,M157-Components!O157,M157*(1+EarningsRate))</f>
        <v>5151.1648100607163</v>
      </c>
      <c r="O157" s="29">
        <f>'FF Deposit'!O157+IF(Components!P157&gt;0,N157-Components!P157,N157*(1+EarningsRate))</f>
        <v>6507.5307698586785</v>
      </c>
      <c r="P157" s="29">
        <f>'FF Deposit'!P157+IF(Components!Q157&gt;0,O157-Components!Q157,O157*(1+EarningsRate))</f>
        <v>7892.3804148123982</v>
      </c>
      <c r="Q157" s="29">
        <f>'FF Deposit'!Q157+IF(Components!R157&gt;0,P157-Components!R157,P157*(1+EarningsRate))</f>
        <v>9306.3119023101463</v>
      </c>
      <c r="R157" s="29">
        <f>'FF Deposit'!R157+IF(Components!S157&gt;0,Q157-Components!S157,Q157*(1+EarningsRate))</f>
        <v>10749.935951045347</v>
      </c>
      <c r="S157" s="29">
        <f>'FF Deposit'!S157+IF(Components!T157&gt;0,R157-Components!T157,R157*(1+EarningsRate))</f>
        <v>12223.876104803985</v>
      </c>
      <c r="T157" s="29">
        <f>'FF Deposit'!T157+IF(Components!U157&gt;0,S157-Components!U157,S157*(1+EarningsRate))</f>
        <v>13728.769001791556</v>
      </c>
      <c r="U157" s="29">
        <f>'FF Deposit'!U157+IF(Components!V157&gt;0,T157-Components!V157,T157*(1+EarningsRate))</f>
        <v>1759.4663829978765</v>
      </c>
      <c r="V157" s="29">
        <f>'FF Deposit'!V157+IF(Components!W157&gt;0,U157-Components!W157,U157*(1+EarningsRate))</f>
        <v>3557.1125582471527</v>
      </c>
      <c r="W157" s="29">
        <f>'FF Deposit'!W157+IF(Components!X157&gt;0,V157-Components!X157,V157*(1+EarningsRate))</f>
        <v>5392.5093031766637</v>
      </c>
      <c r="X157" s="29">
        <f>'FF Deposit'!X157+IF(Components!Y157&gt;0,W157-Components!Y157,W157*(1+EarningsRate))</f>
        <v>7266.4493797496934</v>
      </c>
      <c r="Y157" s="29">
        <f>'FF Deposit'!Y157+IF(Components!Z157&gt;0,X157-Components!Z157,X157*(1+EarningsRate))</f>
        <v>9179.7421979307583</v>
      </c>
      <c r="Z157" s="29">
        <f>'FF Deposit'!Z157+IF(Components!AA157&gt;0,Y157-Components!AA157,Y157*(1+EarningsRate))</f>
        <v>11133.214165293624</v>
      </c>
      <c r="AA157" s="29">
        <f>'FF Deposit'!AA157+IF(Components!AB157&gt;0,Z157-Components!AB157,Z157*(1+EarningsRate))</f>
        <v>13127.70904397111</v>
      </c>
      <c r="AB157" s="29">
        <f>'FF Deposit'!AB157+IF(Components!AC157&gt;0,AA157-Components!AC157,AA157*(1+EarningsRate))</f>
        <v>15164.088315100822</v>
      </c>
      <c r="AC157" s="29">
        <f>'FF Deposit'!AC157+IF(Components!AD157&gt;0,AB157-Components!AD157,AB157*(1+EarningsRate))</f>
        <v>17243.231550924258</v>
      </c>
      <c r="AD157" s="29">
        <f>'FF Deposit'!AD157+IF(Components!AE157&gt;0,AC157-Components!AE157,AC157*(1+EarningsRate))</f>
        <v>19366.036794699987</v>
      </c>
      <c r="AE157" s="29">
        <f>'FF Deposit'!AE157+IF(Components!AF157&gt;0,AD157-Components!AF157,AD157*(1+EarningsRate))</f>
        <v>2482.6075289915248</v>
      </c>
      <c r="AF157" s="29">
        <f>'FF Deposit'!AF157+IF(Components!AG157&gt;0,AE157-Components!AG157,AE157*(1+EarningsRate))</f>
        <v>5018.3130213918848</v>
      </c>
      <c r="AG157" s="29">
        <f>'FF Deposit'!AG157+IF(Components!AH157&gt;0,AF157-Components!AH157,AF157*(1+EarningsRate))</f>
        <v>7607.2683291326521</v>
      </c>
      <c r="AH157" s="29">
        <f>'FF Deposit'!AH157+IF(Components!AI157&gt;0,AG157-Components!AI157,AG157*(1+EarningsRate))</f>
        <v>10250.591698335975</v>
      </c>
      <c r="AI157" s="29">
        <f>'FF Deposit'!AI157+IF(Components!AJ157&gt;0,AH157-Components!AJ157,AH157*(1+EarningsRate))</f>
        <v>12949.424858292567</v>
      </c>
      <c r="AJ157" s="29">
        <f>'FF Deposit'!AJ157+IF(Components!AK157&gt;0,AI157-Components!AK157,AI157*(1+EarningsRate))</f>
        <v>15704.933514608247</v>
      </c>
      <c r="AK157" s="29">
        <f>'FF Deposit'!AK157+IF(Components!AL157&gt;0,AJ157-Components!AL157,AJ157*(1+EarningsRate))</f>
        <v>18518.307852706555</v>
      </c>
      <c r="AL157" s="29">
        <f>'FF Deposit'!AL157+IF(Components!AM157&gt;0,AK157-Components!AM157,AK157*(1+EarningsRate))</f>
        <v>21390.763051904927</v>
      </c>
      <c r="AM157" s="29">
        <f>'FF Deposit'!AM157+IF(Components!AN157&gt;0,AL157-Components!AN157,AL157*(1+EarningsRate))</f>
        <v>24323.539810286467</v>
      </c>
      <c r="AN157" s="29">
        <f>'FF Deposit'!AN157+IF(Components!AO157&gt;0,AM157-Components!AO157,AM157*(1+EarningsRate))</f>
        <v>27317.904880594018</v>
      </c>
      <c r="AO157" s="29">
        <f>'FF Deposit'!AO157+IF(Components!AP157&gt;0,AN157-Components!AP157,AN157*(1+EarningsRate))</f>
        <v>3501.3464286316507</v>
      </c>
      <c r="AP157" s="53"/>
    </row>
    <row r="158" spans="1:42" s="1" customFormat="1">
      <c r="A158" s="220" t="str">
        <f>Components!B158</f>
        <v>Golf Equip</v>
      </c>
      <c r="B158" s="220" t="str">
        <f>Components!C158</f>
        <v>Spray Pro</v>
      </c>
      <c r="C158" s="211"/>
      <c r="D158" s="211"/>
      <c r="E158" s="82">
        <f>AnalysisYear-Components!I158-Components!J158</f>
        <v>13</v>
      </c>
      <c r="F158" s="82">
        <f>IF(H158&lt;0,Components!K158-MOD(AnalysisYear-Components!I158-Components!J158,Components!K158),AnalysisYear-Components!I158-Components!J158)</f>
        <v>13</v>
      </c>
      <c r="G158" s="11">
        <f>ROUND(Components!H158*IF(H158&lt;0,((1+InflationRate)^F158),((1+InflationRate)^H158)),0)</f>
        <v>45119</v>
      </c>
      <c r="H158" s="82">
        <f>IF(E158&gt;=0,Components!K158-E158,E158)</f>
        <v>7</v>
      </c>
      <c r="I158" s="82"/>
      <c r="J158" s="211"/>
      <c r="K158" s="29">
        <f>IF($H158&gt;0,FV(EarningsRate,F158,-'FF Deposit'!L158,1),Components!$H158)</f>
        <v>27155.638661404028</v>
      </c>
      <c r="L158" s="29">
        <f>'FF Deposit'!L158+IF(Components!M158&gt;0,K158-Components!M158,K158*(1+EarningsRate))</f>
        <v>29564.437946719274</v>
      </c>
      <c r="M158" s="29">
        <f>'FF Deposit'!M158+IF(Components!N158&gt;0,L158-Components!N158,L158*(1+EarningsRate))</f>
        <v>32023.822017026137</v>
      </c>
      <c r="N158" s="29">
        <f>'FF Deposit'!N158+IF(Components!O158&gt;0,M158-Components!O158,M158*(1+EarningsRate))</f>
        <v>34534.853152809446</v>
      </c>
      <c r="O158" s="29">
        <f>'FF Deposit'!O158+IF(Components!P158&gt;0,N158-Components!P158,N158*(1+EarningsRate))</f>
        <v>37098.615942444201</v>
      </c>
      <c r="P158" s="29">
        <f>'FF Deposit'!P158+IF(Components!Q158&gt;0,O158-Components!Q158,O158*(1+EarningsRate))</f>
        <v>39716.217750661286</v>
      </c>
      <c r="Q158" s="29">
        <f>'FF Deposit'!Q158+IF(Components!R158&gt;0,P158-Components!R158,P158*(1+EarningsRate))</f>
        <v>42388.789196850936</v>
      </c>
      <c r="R158" s="29">
        <f>'FF Deposit'!R158+IF(Components!S158&gt;0,Q158-Components!S158,Q158*(1+EarningsRate))</f>
        <v>45117.484643410564</v>
      </c>
      <c r="S158" s="29">
        <f>'FF Deposit'!S158+IF(Components!T158&gt;0,R158-Components!T158,R158*(1+EarningsRate))</f>
        <v>3656.7729004912781</v>
      </c>
      <c r="T158" s="29">
        <f>'FF Deposit'!T158+IF(Components!U158&gt;0,S158-Components!U158,S158*(1+EarningsRate))</f>
        <v>7391.8533884823082</v>
      </c>
      <c r="U158" s="29">
        <f>'FF Deposit'!U158+IF(Components!V158&gt;0,T158-Components!V158,T158*(1+EarningsRate))</f>
        <v>11205.370566721151</v>
      </c>
      <c r="V158" s="29">
        <f>'FF Deposit'!V158+IF(Components!W158&gt;0,U158-Components!W158,U158*(1+EarningsRate))</f>
        <v>15098.971605703007</v>
      </c>
      <c r="W158" s="29">
        <f>'FF Deposit'!W158+IF(Components!X158&gt;0,V158-Components!X158,V158*(1+EarningsRate))</f>
        <v>19074.338266503481</v>
      </c>
      <c r="X158" s="29">
        <f>'FF Deposit'!X158+IF(Components!Y158&gt;0,W158-Components!Y158,W158*(1+EarningsRate))</f>
        <v>23133.187627180763</v>
      </c>
      <c r="Y158" s="29">
        <f>'FF Deposit'!Y158+IF(Components!Z158&gt;0,X158-Components!Z158,X158*(1+EarningsRate))</f>
        <v>27277.272824432272</v>
      </c>
      <c r="Z158" s="29">
        <f>'FF Deposit'!Z158+IF(Components!AA158&gt;0,Y158-Components!AA158,Y158*(1+EarningsRate))</f>
        <v>31508.383810826061</v>
      </c>
      <c r="AA158" s="29">
        <f>'FF Deposit'!AA158+IF(Components!AB158&gt;0,Z158-Components!AB158,Z158*(1+EarningsRate))</f>
        <v>35828.348127934121</v>
      </c>
      <c r="AB158" s="29">
        <f>'FF Deposit'!AB158+IF(Components!AC158&gt;0,AA158-Components!AC158,AA158*(1+EarningsRate))</f>
        <v>40239.031695701444</v>
      </c>
      <c r="AC158" s="29">
        <f>'FF Deposit'!AC158+IF(Components!AD158&gt;0,AB158-Components!AD158,AB158*(1+EarningsRate))</f>
        <v>44742.339618391881</v>
      </c>
      <c r="AD158" s="29">
        <f>'FF Deposit'!AD158+IF(Components!AE158&gt;0,AC158-Components!AE158,AC158*(1+EarningsRate))</f>
        <v>49340.217007458821</v>
      </c>
      <c r="AE158" s="29">
        <f>'FF Deposit'!AE158+IF(Components!AF158&gt;0,AD158-Components!AF158,AD158*(1+EarningsRate))</f>
        <v>54034.649821696163</v>
      </c>
      <c r="AF158" s="29">
        <f>'FF Deposit'!AF158+IF(Components!AG158&gt;0,AE158-Components!AG158,AE158*(1+EarningsRate))</f>
        <v>58827.665725032486</v>
      </c>
      <c r="AG158" s="29">
        <f>'FF Deposit'!AG158+IF(Components!AH158&gt;0,AF158-Components!AH158,AF158*(1+EarningsRate))</f>
        <v>63721.334962338879</v>
      </c>
      <c r="AH158" s="29">
        <f>'FF Deposit'!AH158+IF(Components!AI158&gt;0,AG158-Components!AI158,AG158*(1+EarningsRate))</f>
        <v>68717.7712536287</v>
      </c>
      <c r="AI158" s="29">
        <f>'FF Deposit'!AI158+IF(Components!AJ158&gt;0,AH158-Components!AJ158,AH158*(1+EarningsRate))</f>
        <v>73819.132707035606</v>
      </c>
      <c r="AJ158" s="29">
        <f>'FF Deposit'!AJ158+IF(Components!AK158&gt;0,AI158-Components!AK158,AI158*(1+EarningsRate))</f>
        <v>79027.622750964059</v>
      </c>
      <c r="AK158" s="29">
        <f>'FF Deposit'!AK158+IF(Components!AL158&gt;0,AJ158-Components!AL158,AJ158*(1+EarningsRate))</f>
        <v>84345.491085815011</v>
      </c>
      <c r="AL158" s="29">
        <f>'FF Deposit'!AL158+IF(Components!AM158&gt;0,AK158-Components!AM158,AK158*(1+EarningsRate))</f>
        <v>89775.034655697833</v>
      </c>
      <c r="AM158" s="29">
        <f>'FF Deposit'!AM158+IF(Components!AN158&gt;0,AL158-Components!AN158,AL158*(1+EarningsRate))</f>
        <v>7277.2328838486192</v>
      </c>
      <c r="AN158" s="29">
        <f>'FF Deposit'!AN158+IF(Components!AO158&gt;0,AM158-Components!AO158,AM158*(1+EarningsRate))</f>
        <v>14709.253002560225</v>
      </c>
      <c r="AO158" s="29">
        <f>'FF Deposit'!AO158+IF(Components!AP158&gt;0,AN158-Components!AP158,AN158*(1+EarningsRate))</f>
        <v>22297.345543764772</v>
      </c>
      <c r="AP158" s="53"/>
    </row>
    <row r="159" spans="1:42" s="1" customFormat="1">
      <c r="A159" s="220" t="str">
        <f>Components!B159</f>
        <v>Golf Equip</v>
      </c>
      <c r="B159" s="220" t="str">
        <f>Components!C159</f>
        <v>Stump Grinder Attachment</v>
      </c>
      <c r="C159" s="211"/>
      <c r="D159" s="211"/>
      <c r="E159" s="82">
        <f>AnalysisYear-Components!I159-Components!J159</f>
        <v>4</v>
      </c>
      <c r="F159" s="82">
        <f>IF(H159&lt;0,Components!K159-MOD(AnalysisYear-Components!I159-Components!J159,Components!K159),AnalysisYear-Components!I159-Components!J159)</f>
        <v>4</v>
      </c>
      <c r="G159" s="11">
        <f>ROUND(Components!H159*IF(H159&lt;0,((1+InflationRate)^F159),((1+InflationRate)^H159)),0)</f>
        <v>16913</v>
      </c>
      <c r="H159" s="82">
        <f>IF(E159&gt;=0,Components!K159-E159,E159)</f>
        <v>16</v>
      </c>
      <c r="I159" s="82"/>
      <c r="J159" s="211"/>
      <c r="K159" s="29">
        <f>IF($H159&gt;0,FV(EarningsRate,F159,-'FF Deposit'!L159,1),Components!$H159)</f>
        <v>2843.6884554854851</v>
      </c>
      <c r="L159" s="29">
        <f>'FF Deposit'!L159+IF(Components!M159&gt;0,K159-Components!M159,K159*(1+EarningsRate))</f>
        <v>3592.5850318753423</v>
      </c>
      <c r="M159" s="29">
        <f>'FF Deposit'!M159+IF(Components!N159&gt;0,L159-Components!N159,L159*(1+EarningsRate))</f>
        <v>4357.2084363693866</v>
      </c>
      <c r="N159" s="29">
        <f>'FF Deposit'!N159+IF(Components!O159&gt;0,M159-Components!O159,M159*(1+EarningsRate))</f>
        <v>5137.888932357806</v>
      </c>
      <c r="O159" s="29">
        <f>'FF Deposit'!O159+IF(Components!P159&gt;0,N159-Components!P159,N159*(1+EarningsRate))</f>
        <v>5934.9637187619819</v>
      </c>
      <c r="P159" s="29">
        <f>'FF Deposit'!P159+IF(Components!Q159&gt;0,O159-Components!Q159,O159*(1+EarningsRate))</f>
        <v>6748.7770756806458</v>
      </c>
      <c r="Q159" s="29">
        <f>'FF Deposit'!Q159+IF(Components!R159&gt;0,P159-Components!R159,P159*(1+EarningsRate))</f>
        <v>7579.6805130946013</v>
      </c>
      <c r="R159" s="29">
        <f>'FF Deposit'!R159+IF(Components!S159&gt;0,Q159-Components!S159,Q159*(1+EarningsRate))</f>
        <v>8428.0329226942486</v>
      </c>
      <c r="S159" s="29">
        <f>'FF Deposit'!S159+IF(Components!T159&gt;0,R159-Components!T159,R159*(1+EarningsRate))</f>
        <v>9294.2007328954896</v>
      </c>
      <c r="T159" s="29">
        <f>'FF Deposit'!T159+IF(Components!U159&gt;0,S159-Components!U159,S159*(1+EarningsRate))</f>
        <v>10178.558067110956</v>
      </c>
      <c r="U159" s="29">
        <f>'FF Deposit'!U159+IF(Components!V159&gt;0,T159-Components!V159,T159*(1+EarningsRate))</f>
        <v>11081.486905344947</v>
      </c>
      <c r="V159" s="29">
        <f>'FF Deposit'!V159+IF(Components!W159&gt;0,U159-Components!W159,U159*(1+EarningsRate))</f>
        <v>12003.377249181853</v>
      </c>
      <c r="W159" s="29">
        <f>'FF Deposit'!W159+IF(Components!X159&gt;0,V159-Components!X159,V159*(1+EarningsRate))</f>
        <v>12944.627290239334</v>
      </c>
      <c r="X159" s="29">
        <f>'FF Deposit'!X159+IF(Components!Y159&gt;0,W159-Components!Y159,W159*(1+EarningsRate))</f>
        <v>13905.643582159022</v>
      </c>
      <c r="Y159" s="29">
        <f>'FF Deposit'!Y159+IF(Components!Z159&gt;0,X159-Components!Z159,X159*(1+EarningsRate))</f>
        <v>14886.841216209023</v>
      </c>
      <c r="Z159" s="29">
        <f>'FF Deposit'!Z159+IF(Components!AA159&gt;0,Y159-Components!AA159,Y159*(1+EarningsRate))</f>
        <v>15888.644000574073</v>
      </c>
      <c r="AA159" s="29">
        <f>'FF Deposit'!AA159+IF(Components!AB159&gt;0,Z159-Components!AB159,Z159*(1+EarningsRate))</f>
        <v>16911.484643410789</v>
      </c>
      <c r="AB159" s="29">
        <f>'FF Deposit'!AB159+IF(Components!AC159&gt;0,AA159-Components!AC159,AA159*(1+EarningsRate))</f>
        <v>1369.8055789813056</v>
      </c>
      <c r="AC159" s="29">
        <f>'FF Deposit'!AC159+IF(Components!AD159&gt;0,AB159-Components!AD159,AB159*(1+EarningsRate))</f>
        <v>2769.8924317104293</v>
      </c>
      <c r="AD159" s="29">
        <f>'FF Deposit'!AD159+IF(Components!AE159&gt;0,AC159-Components!AE159,AC159*(1+EarningsRate))</f>
        <v>4199.3811083468645</v>
      </c>
      <c r="AE159" s="29">
        <f>'FF Deposit'!AE159+IF(Components!AF159&gt;0,AD159-Components!AF159,AD159*(1+EarningsRate))</f>
        <v>5658.8890471926643</v>
      </c>
      <c r="AF159" s="29">
        <f>'FF Deposit'!AF159+IF(Components!AG159&gt;0,AE159-Components!AG159,AE159*(1+EarningsRate))</f>
        <v>7149.0466527542267</v>
      </c>
      <c r="AG159" s="29">
        <f>'FF Deposit'!AG159+IF(Components!AH159&gt;0,AF159-Components!AH159,AF159*(1+EarningsRate))</f>
        <v>8670.4975680325806</v>
      </c>
      <c r="AH159" s="29">
        <f>'FF Deposit'!AH159+IF(Components!AI159&gt;0,AG159-Components!AI159,AG159*(1+EarningsRate))</f>
        <v>10223.898952531781</v>
      </c>
      <c r="AI159" s="29">
        <f>'FF Deposit'!AI159+IF(Components!AJ159&gt;0,AH159-Components!AJ159,AH159*(1+EarningsRate))</f>
        <v>11809.921766105464</v>
      </c>
      <c r="AJ159" s="29">
        <f>'FF Deposit'!AJ159+IF(Components!AK159&gt;0,AI159-Components!AK159,AI159*(1+EarningsRate))</f>
        <v>13429.251058764195</v>
      </c>
      <c r="AK159" s="29">
        <f>'FF Deposit'!AK159+IF(Components!AL159&gt;0,AJ159-Components!AL159,AJ159*(1+EarningsRate))</f>
        <v>15082.586266568758</v>
      </c>
      <c r="AL159" s="29">
        <f>'FF Deposit'!AL159+IF(Components!AM159&gt;0,AK159-Components!AM159,AK159*(1+EarningsRate))</f>
        <v>16770.641513737217</v>
      </c>
      <c r="AM159" s="29">
        <f>'FF Deposit'!AM159+IF(Components!AN159&gt;0,AL159-Components!AN159,AL159*(1+EarningsRate))</f>
        <v>18494.145921096213</v>
      </c>
      <c r="AN159" s="29">
        <f>'FF Deposit'!AN159+IF(Components!AO159&gt;0,AM159-Components!AO159,AM159*(1+EarningsRate))</f>
        <v>20253.843921009746</v>
      </c>
      <c r="AO159" s="29">
        <f>'FF Deposit'!AO159+IF(Components!AP159&gt;0,AN159-Components!AP159,AN159*(1+EarningsRate))</f>
        <v>22050.495578921462</v>
      </c>
      <c r="AP159" s="53"/>
    </row>
    <row r="160" spans="1:42" s="1" customFormat="1">
      <c r="A160" s="220" t="str">
        <f>Components!B160</f>
        <v>Golf Equip</v>
      </c>
      <c r="B160" s="220" t="str">
        <f>Components!C160</f>
        <v>Sweeper/Thatcher</v>
      </c>
      <c r="C160" s="211"/>
      <c r="D160" s="211"/>
      <c r="E160" s="82">
        <f>AnalysisYear-Components!I160-Components!J160</f>
        <v>2</v>
      </c>
      <c r="F160" s="82">
        <f>IF(H160&lt;0,Components!K160-MOD(AnalysisYear-Components!I160-Components!J160,Components!K160),AnalysisYear-Components!I160-Components!J160)</f>
        <v>2</v>
      </c>
      <c r="G160" s="11">
        <f>ROUND(Components!H160*IF(H160&lt;0,((1+InflationRate)^F160),((1+InflationRate)^H160)),0)</f>
        <v>11720</v>
      </c>
      <c r="H160" s="82">
        <f>IF(E160&gt;=0,Components!K160-E160,E160)</f>
        <v>8</v>
      </c>
      <c r="I160" s="82"/>
      <c r="J160" s="211"/>
      <c r="K160" s="29">
        <f>IF($H160&gt;0,FV(EarningsRate,F160,-'FF Deposit'!L160,1),Components!$H160)</f>
        <v>2152.2578957255023</v>
      </c>
      <c r="L160" s="29">
        <f>'FF Deposit'!L160+IF(Components!M160&gt;0,K160-Components!M160,K160*(1+EarningsRate))</f>
        <v>3262.9181204053648</v>
      </c>
      <c r="M160" s="29">
        <f>'FF Deposit'!M160+IF(Components!N160&gt;0,L160-Components!N160,L160*(1+EarningsRate))</f>
        <v>4396.9022098035039</v>
      </c>
      <c r="N160" s="29">
        <f>'FF Deposit'!N160+IF(Components!O160&gt;0,M160-Components!O160,M160*(1+EarningsRate))</f>
        <v>5554.699965079004</v>
      </c>
      <c r="O160" s="29">
        <f>'FF Deposit'!O160+IF(Components!P160&gt;0,N160-Components!P160,N160*(1+EarningsRate))</f>
        <v>6736.8114732152899</v>
      </c>
      <c r="P160" s="29">
        <f>'FF Deposit'!P160+IF(Components!Q160&gt;0,O160-Components!Q160,O160*(1+EarningsRate))</f>
        <v>7943.7473230224377</v>
      </c>
      <c r="Q160" s="29">
        <f>'FF Deposit'!Q160+IF(Components!R160&gt;0,P160-Components!R160,P160*(1+EarningsRate))</f>
        <v>9176.0288256755357</v>
      </c>
      <c r="R160" s="29">
        <f>'FF Deposit'!R160+IF(Components!S160&gt;0,Q160-Components!S160,Q160*(1+EarningsRate))</f>
        <v>10434.188239884348</v>
      </c>
      <c r="S160" s="29">
        <f>'FF Deposit'!S160+IF(Components!T160&gt;0,R160-Components!T160,R160*(1+EarningsRate))</f>
        <v>11718.769001791545</v>
      </c>
      <c r="T160" s="29">
        <f>'FF Deposit'!T160+IF(Components!U160&gt;0,S160-Components!U160,S160*(1+EarningsRate))</f>
        <v>1501.7095194709386</v>
      </c>
      <c r="U160" s="29">
        <f>'FF Deposit'!U160+IF(Components!V160&gt;0,T160-Components!V160,T160*(1+EarningsRate))</f>
        <v>3036.1859370592219</v>
      </c>
      <c r="V160" s="29">
        <f>'FF Deposit'!V160+IF(Components!W160&gt;0,U160-Components!W160,U160*(1+EarningsRate))</f>
        <v>4602.8863594168597</v>
      </c>
      <c r="W160" s="29">
        <f>'FF Deposit'!W160+IF(Components!X160&gt;0,V160-Components!X160,V160*(1+EarningsRate))</f>
        <v>6202.4874906440073</v>
      </c>
      <c r="X160" s="29">
        <f>'FF Deposit'!X160+IF(Components!Y160&gt;0,W160-Components!Y160,W160*(1+EarningsRate))</f>
        <v>7835.6802456269252</v>
      </c>
      <c r="Y160" s="29">
        <f>'FF Deposit'!Y160+IF(Components!Z160&gt;0,X160-Components!Z160,X160*(1+EarningsRate))</f>
        <v>9503.1700484644844</v>
      </c>
      <c r="Z160" s="29">
        <f>'FF Deposit'!Z160+IF(Components!AA160&gt;0,Y160-Components!AA160,Y160*(1+EarningsRate))</f>
        <v>11205.677137161631</v>
      </c>
      <c r="AA160" s="29">
        <f>'FF Deposit'!AA160+IF(Components!AB160&gt;0,Z160-Components!AB160,Z160*(1+EarningsRate))</f>
        <v>12943.936874721418</v>
      </c>
      <c r="AB160" s="29">
        <f>'FF Deposit'!AB160+IF(Components!AC160&gt;0,AA160-Components!AC160,AA160*(1+EarningsRate))</f>
        <v>14718.700066769959</v>
      </c>
      <c r="AC160" s="29">
        <f>'FF Deposit'!AC160+IF(Components!AD160&gt;0,AB160-Components!AD160,AB160*(1+EarningsRate))</f>
        <v>16530.733285851522</v>
      </c>
      <c r="AD160" s="29">
        <f>'FF Deposit'!AD160+IF(Components!AE160&gt;0,AC160-Components!AE160,AC160*(1+EarningsRate))</f>
        <v>2117.879666294647</v>
      </c>
      <c r="AE160" s="29">
        <f>'FF Deposit'!AE160+IF(Components!AF160&gt;0,AD160-Components!AF160,AD160*(1+EarningsRate))</f>
        <v>4282.5015197299599</v>
      </c>
      <c r="AF160" s="29">
        <f>'FF Deposit'!AF160+IF(Components!AG160&gt;0,AE160-Components!AG160,AE160*(1+EarningsRate))</f>
        <v>6492.580432087414</v>
      </c>
      <c r="AG160" s="29">
        <f>'FF Deposit'!AG160+IF(Components!AH160&gt;0,AF160-Components!AH160,AF160*(1+EarningsRate))</f>
        <v>8749.071001604374</v>
      </c>
      <c r="AH160" s="29">
        <f>'FF Deposit'!AH160+IF(Components!AI160&gt;0,AG160-Components!AI160,AG160*(1+EarningsRate))</f>
        <v>11052.94787308119</v>
      </c>
      <c r="AI160" s="29">
        <f>'FF Deposit'!AI160+IF(Components!AJ160&gt;0,AH160-Components!AJ160,AH160*(1+EarningsRate))</f>
        <v>13405.206158859019</v>
      </c>
      <c r="AJ160" s="29">
        <f>'FF Deposit'!AJ160+IF(Components!AK160&gt;0,AI160-Components!AK160,AI160*(1+EarningsRate))</f>
        <v>15806.861868638181</v>
      </c>
      <c r="AK160" s="29">
        <f>'FF Deposit'!AK160+IF(Components!AL160&gt;0,AJ160-Components!AL160,AJ160*(1+EarningsRate))</f>
        <v>18258.952348322706</v>
      </c>
      <c r="AL160" s="29">
        <f>'FF Deposit'!AL160+IF(Components!AM160&gt;0,AK160-Components!AM160,AK160*(1+EarningsRate))</f>
        <v>20762.536728080606</v>
      </c>
      <c r="AM160" s="29">
        <f>'FF Deposit'!AM160+IF(Components!AN160&gt;0,AL160-Components!AN160,AL160*(1+EarningsRate))</f>
        <v>23318.696379813424</v>
      </c>
      <c r="AN160" s="29">
        <f>'FF Deposit'!AN160+IF(Components!AO160&gt;0,AM160-Components!AO160,AM160*(1+EarningsRate))</f>
        <v>2988.317182953454</v>
      </c>
      <c r="AO160" s="29">
        <f>'FF Deposit'!AO160+IF(Components!AP160&gt;0,AN160-Components!AP160,AN160*(1+EarningsRate))</f>
        <v>6041.6926469355058</v>
      </c>
      <c r="AP160" s="53"/>
    </row>
    <row r="161" spans="1:42" s="1" customFormat="1">
      <c r="A161" s="220" t="str">
        <f>Components!B161</f>
        <v>Golf Equip</v>
      </c>
      <c r="B161" s="220" t="str">
        <f>Components!C161</f>
        <v>Tractor w/forklift &amp; backhoe</v>
      </c>
      <c r="C161" s="211"/>
      <c r="D161" s="211"/>
      <c r="E161" s="82">
        <f>AnalysisYear-Components!I161-Components!J161</f>
        <v>28</v>
      </c>
      <c r="F161" s="82">
        <f>IF(H161&lt;0,Components!K161-MOD(AnalysisYear-Components!I161-Components!J161,Components!K161),AnalysisYear-Components!I161-Components!J161)</f>
        <v>28</v>
      </c>
      <c r="G161" s="11">
        <f>ROUND(Components!H161*IF(H161&lt;0,((1+InflationRate)^F161),((1+InflationRate)^H161)),0)</f>
        <v>48873</v>
      </c>
      <c r="H161" s="82">
        <f>IF(E161&gt;=0,Components!K161-E161,E161)</f>
        <v>2</v>
      </c>
      <c r="I161" s="82"/>
      <c r="J161" s="211"/>
      <c r="K161" s="29">
        <f>IF($H161&gt;0,FV(EarningsRate,F161,-'FF Deposit'!L161,1),Components!$H161)</f>
        <v>44582.192546489197</v>
      </c>
      <c r="L161" s="29">
        <f>'FF Deposit'!L161+IF(Components!M161&gt;0,K161-Components!M161,K161*(1+EarningsRate))</f>
        <v>46704.380598079515</v>
      </c>
      <c r="M161" s="29">
        <f>'FF Deposit'!M161+IF(Components!N161&gt;0,L161-Components!N161,L161*(1+EarningsRate))</f>
        <v>48871.134598753226</v>
      </c>
      <c r="N161" s="29">
        <f>'FF Deposit'!N161+IF(Components!O161&gt;0,M161-Components!O161,M161*(1+EarningsRate))</f>
        <v>3326.8852971442079</v>
      </c>
      <c r="O161" s="29">
        <f>'FF Deposit'!O161+IF(Components!P161&gt;0,N161-Components!P161,N161*(1+EarningsRate))</f>
        <v>6725.5005867752179</v>
      </c>
      <c r="P161" s="29">
        <f>'FF Deposit'!P161+IF(Components!Q161&gt;0,O161-Components!Q161,O161*(1+EarningsRate))</f>
        <v>10195.486797488478</v>
      </c>
      <c r="Q161" s="29">
        <f>'FF Deposit'!Q161+IF(Components!R161&gt;0,P161-Components!R161,P161*(1+EarningsRate))</f>
        <v>13738.342718626718</v>
      </c>
      <c r="R161" s="29">
        <f>'FF Deposit'!R161+IF(Components!S161&gt;0,Q161-Components!S161,Q161*(1+EarningsRate))</f>
        <v>17355.598614108858</v>
      </c>
      <c r="S161" s="29">
        <f>'FF Deposit'!S161+IF(Components!T161&gt;0,R161-Components!T161,R161*(1+EarningsRate))</f>
        <v>21048.816883396124</v>
      </c>
      <c r="T161" s="29">
        <f>'FF Deposit'!T161+IF(Components!U161&gt;0,S161-Components!U161,S161*(1+EarningsRate))</f>
        <v>24819.592736338422</v>
      </c>
      <c r="U161" s="29">
        <f>'FF Deposit'!U161+IF(Components!V161&gt;0,T161-Components!V161,T161*(1+EarningsRate))</f>
        <v>28669.554882192508</v>
      </c>
      <c r="V161" s="29">
        <f>'FF Deposit'!V161+IF(Components!W161&gt;0,U161-Components!W161,U161*(1+EarningsRate))</f>
        <v>32600.366233109529</v>
      </c>
      <c r="W161" s="29">
        <f>'FF Deposit'!W161+IF(Components!X161&gt;0,V161-Components!X161,V161*(1+EarningsRate))</f>
        <v>36613.724622395814</v>
      </c>
      <c r="X161" s="29">
        <f>'FF Deposit'!X161+IF(Components!Y161&gt;0,W161-Components!Y161,W161*(1+EarningsRate))</f>
        <v>40711.363537857105</v>
      </c>
      <c r="Y161" s="29">
        <f>'FF Deposit'!Y161+IF(Components!Z161&gt;0,X161-Components!Z161,X161*(1+EarningsRate))</f>
        <v>44895.052870543084</v>
      </c>
      <c r="Z161" s="29">
        <f>'FF Deposit'!Z161+IF(Components!AA161&gt;0,Y161-Components!AA161,Y161*(1+EarningsRate))</f>
        <v>49166.599679215469</v>
      </c>
      <c r="AA161" s="29">
        <f>'FF Deposit'!AA161+IF(Components!AB161&gt;0,Z161-Components!AB161,Z161*(1+EarningsRate))</f>
        <v>53527.848970869971</v>
      </c>
      <c r="AB161" s="29">
        <f>'FF Deposit'!AB161+IF(Components!AC161&gt;0,AA161-Components!AC161,AA161*(1+EarningsRate))</f>
        <v>57980.684497649221</v>
      </c>
      <c r="AC161" s="29">
        <f>'FF Deposit'!AC161+IF(Components!AD161&gt;0,AB161-Components!AD161,AB161*(1+EarningsRate))</f>
        <v>62527.029570490835</v>
      </c>
      <c r="AD161" s="29">
        <f>'FF Deposit'!AD161+IF(Components!AE161&gt;0,AC161-Components!AE161,AC161*(1+EarningsRate))</f>
        <v>67168.847889862111</v>
      </c>
      <c r="AE161" s="29">
        <f>'FF Deposit'!AE161+IF(Components!AF161&gt;0,AD161-Components!AF161,AD161*(1+EarningsRate))</f>
        <v>71908.144393940194</v>
      </c>
      <c r="AF161" s="29">
        <f>'FF Deposit'!AF161+IF(Components!AG161&gt;0,AE161-Components!AG161,AE161*(1+EarningsRate))</f>
        <v>76746.966124603918</v>
      </c>
      <c r="AG161" s="29">
        <f>'FF Deposit'!AG161+IF(Components!AH161&gt;0,AF161-Components!AH161,AF161*(1+EarningsRate))</f>
        <v>81687.40311161158</v>
      </c>
      <c r="AH161" s="29">
        <f>'FF Deposit'!AH161+IF(Components!AI161&gt;0,AG161-Components!AI161,AG161*(1+EarningsRate))</f>
        <v>86731.5892753464</v>
      </c>
      <c r="AI161" s="29">
        <f>'FF Deposit'!AI161+IF(Components!AJ161&gt;0,AH161-Components!AJ161,AH161*(1+EarningsRate))</f>
        <v>91881.703348519644</v>
      </c>
      <c r="AJ161" s="29">
        <f>'FF Deposit'!AJ161+IF(Components!AK161&gt;0,AI161-Components!AK161,AI161*(1+EarningsRate))</f>
        <v>97139.969817229532</v>
      </c>
      <c r="AK161" s="29">
        <f>'FF Deposit'!AK161+IF(Components!AL161&gt;0,AJ161-Components!AL161,AJ161*(1+EarningsRate))</f>
        <v>102508.65988178233</v>
      </c>
      <c r="AL161" s="29">
        <f>'FF Deposit'!AL161+IF(Components!AM161&gt;0,AK161-Components!AM161,AK161*(1+EarningsRate))</f>
        <v>107990.09243769074</v>
      </c>
      <c r="AM161" s="29">
        <f>'FF Deposit'!AM161+IF(Components!AN161&gt;0,AL161-Components!AN161,AL161*(1+EarningsRate))</f>
        <v>113586.63507727321</v>
      </c>
      <c r="AN161" s="29">
        <f>'FF Deposit'!AN161+IF(Components!AO161&gt;0,AM161-Components!AO161,AM161*(1+EarningsRate))</f>
        <v>119300.70511228692</v>
      </c>
      <c r="AO161" s="29">
        <f>'FF Deposit'!AO161+IF(Components!AP161&gt;0,AN161-Components!AP161,AN161*(1+EarningsRate))</f>
        <v>125134.77061803591</v>
      </c>
      <c r="AP161" s="53"/>
    </row>
    <row r="162" spans="1:42" s="1" customFormat="1">
      <c r="A162" s="220" t="str">
        <f>Components!B162</f>
        <v>Golf Equip</v>
      </c>
      <c r="B162" s="220" t="str">
        <f>Components!C162</f>
        <v>Ventrac Multi Use with attachments</v>
      </c>
      <c r="C162" s="211"/>
      <c r="D162" s="211"/>
      <c r="E162" s="82">
        <f>AnalysisYear-Components!I162-Components!J162</f>
        <v>2</v>
      </c>
      <c r="F162" s="82">
        <f>IF(H162&lt;0,Components!K162-MOD(AnalysisYear-Components!I162-Components!J162,Components!K162),AnalysisYear-Components!I162-Components!J162)</f>
        <v>2</v>
      </c>
      <c r="G162" s="11">
        <f>ROUND(Components!H162*IF(H162&lt;0,((1+InflationRate)^F162),((1+InflationRate)^H162)),0)</f>
        <v>67681</v>
      </c>
      <c r="H162" s="82">
        <f>IF(E162&gt;=0,Components!K162-E162,E162)</f>
        <v>8</v>
      </c>
      <c r="I162" s="82"/>
      <c r="J162" s="211"/>
      <c r="K162" s="29">
        <f>IF($H162&gt;0,FV(EarningsRate,F162,-'FF Deposit'!L162,1),Components!$H162)</f>
        <v>12433.899546194431</v>
      </c>
      <c r="L162" s="29">
        <f>'FF Deposit'!L162+IF(Components!M162&gt;0,K162-Components!M162,K162*(1+EarningsRate))</f>
        <v>18847.877338294649</v>
      </c>
      <c r="M162" s="29">
        <f>'FF Deposit'!M162+IF(Components!N162&gt;0,L162-Components!N162,L162*(1+EarningsRate))</f>
        <v>25396.548664028975</v>
      </c>
      <c r="N162" s="29">
        <f>'FF Deposit'!N162+IF(Components!O162&gt;0,M162-Components!O162,M162*(1+EarningsRate))</f>
        <v>32082.742087603721</v>
      </c>
      <c r="O162" s="29">
        <f>'FF Deposit'!O162+IF(Components!P162&gt;0,N162-Components!P162,N162*(1+EarningsRate))</f>
        <v>38909.345573073537</v>
      </c>
      <c r="P162" s="29">
        <f>'FF Deposit'!P162+IF(Components!Q162&gt;0,O162-Components!Q162,O162*(1+EarningsRate))</f>
        <v>45879.307731738219</v>
      </c>
      <c r="Q162" s="29">
        <f>'FF Deposit'!Q162+IF(Components!R162&gt;0,P162-Components!R162,P162*(1+EarningsRate))</f>
        <v>52995.639095734856</v>
      </c>
      <c r="R162" s="29">
        <f>'FF Deposit'!R162+IF(Components!S162&gt;0,Q162-Components!S162,Q162*(1+EarningsRate))</f>
        <v>60261.413418375421</v>
      </c>
      <c r="S162" s="29">
        <f>'FF Deposit'!S162+IF(Components!T162&gt;0,R162-Components!T162,R162*(1+EarningsRate))</f>
        <v>67679.769001791428</v>
      </c>
      <c r="T162" s="29">
        <f>'FF Deposit'!T162+IF(Components!U162&gt;0,S162-Components!U162,S162*(1+EarningsRate))</f>
        <v>8677.994016898856</v>
      </c>
      <c r="U162" s="29">
        <f>'FF Deposit'!U162+IF(Components!V162&gt;0,T162-Components!V162,T162*(1+EarningsRate))</f>
        <v>17539.456906361156</v>
      </c>
      <c r="V162" s="29">
        <f>'FF Deposit'!V162+IF(Components!W162&gt;0,U162-Components!W162,U162*(1+EarningsRate))</f>
        <v>26587.010516502167</v>
      </c>
      <c r="W162" s="29">
        <f>'FF Deposit'!W162+IF(Components!X162&gt;0,V162-Components!X162,V162*(1+EarningsRate))</f>
        <v>35824.562752456135</v>
      </c>
      <c r="X162" s="29">
        <f>'FF Deposit'!X162+IF(Components!Y162&gt;0,W162-Components!Y162,W162*(1+EarningsRate))</f>
        <v>45256.103585365134</v>
      </c>
      <c r="Y162" s="29">
        <f>'FF Deposit'!Y162+IF(Components!Z162&gt;0,X162-Components!Z162,X162*(1+EarningsRate))</f>
        <v>54885.706775765226</v>
      </c>
      <c r="Z162" s="29">
        <f>'FF Deposit'!Z162+IF(Components!AA162&gt;0,Y162-Components!AA162,Y162*(1+EarningsRate))</f>
        <v>64717.531633163715</v>
      </c>
      <c r="AA162" s="29">
        <f>'FF Deposit'!AA162+IF(Components!AB162&gt;0,Z162-Components!AB162,Z162*(1+EarningsRate))</f>
        <v>74755.824812567575</v>
      </c>
      <c r="AB162" s="29">
        <f>'FF Deposit'!AB162+IF(Components!AC162&gt;0,AA162-Components!AC162,AA162*(1+EarningsRate))</f>
        <v>85004.922148738915</v>
      </c>
      <c r="AC162" s="29">
        <f>'FF Deposit'!AC162+IF(Components!AD162&gt;0,AB162-Components!AD162,AB162*(1+EarningsRate))</f>
        <v>95469.250528969846</v>
      </c>
      <c r="AD162" s="29">
        <f>'FF Deposit'!AD162+IF(Components!AE162&gt;0,AC162-Components!AE162,AC162*(1+EarningsRate))</f>
        <v>12242.060360271187</v>
      </c>
      <c r="AE162" s="29">
        <f>'FF Deposit'!AE162+IF(Components!AF162&gt;0,AD162-Components!AF162,AD162*(1+EarningsRate))</f>
        <v>24741.953459138222</v>
      </c>
      <c r="AF162" s="29">
        <f>'FF Deposit'!AF162+IF(Components!AG162&gt;0,AE162-Components!AG162,AE162*(1+EarningsRate))</f>
        <v>37504.344313081463</v>
      </c>
      <c r="AG162" s="29">
        <f>'FF Deposit'!AG162+IF(Components!AH162&gt;0,AF162-Components!AH162,AF162*(1+EarningsRate))</f>
        <v>50534.745374957507</v>
      </c>
      <c r="AH162" s="29">
        <f>'FF Deposit'!AH162+IF(Components!AI162&gt;0,AG162-Components!AI162,AG162*(1+EarningsRate))</f>
        <v>63838.784859132953</v>
      </c>
      <c r="AI162" s="29">
        <f>'FF Deposit'!AI162+IF(Components!AJ162&gt;0,AH162-Components!AJ162,AH162*(1+EarningsRate))</f>
        <v>77422.209172476083</v>
      </c>
      <c r="AJ162" s="29">
        <f>'FF Deposit'!AJ162+IF(Components!AK162&gt;0,AI162-Components!AK162,AI162*(1+EarningsRate))</f>
        <v>91290.885396399419</v>
      </c>
      <c r="AK162" s="29">
        <f>'FF Deposit'!AK162+IF(Components!AL162&gt;0,AJ162-Components!AL162,AJ162*(1+EarningsRate))</f>
        <v>105450.80382102514</v>
      </c>
      <c r="AL162" s="29">
        <f>'FF Deposit'!AL162+IF(Components!AM162&gt;0,AK162-Components!AM162,AK162*(1+EarningsRate))</f>
        <v>119908.08053256801</v>
      </c>
      <c r="AM162" s="29">
        <f>'FF Deposit'!AM162+IF(Components!AN162&gt;0,AL162-Components!AN162,AL162*(1+EarningsRate))</f>
        <v>134668.96005505326</v>
      </c>
      <c r="AN162" s="29">
        <f>'FF Deposit'!AN162+IF(Components!AO162&gt;0,AM162-Components!AO162,AM162*(1+EarningsRate))</f>
        <v>17268.66991135736</v>
      </c>
      <c r="AO162" s="29">
        <f>'FF Deposit'!AO162+IF(Components!AP162&gt;0,AN162-Components!AP162,AN162*(1+EarningsRate))</f>
        <v>34901.021835799955</v>
      </c>
      <c r="AP162" s="53"/>
    </row>
    <row r="163" spans="1:42" s="1" customFormat="1">
      <c r="A163" s="220" t="str">
        <f>Components!B163</f>
        <v>Golf Equip</v>
      </c>
      <c r="B163" s="220" t="str">
        <f>Components!C163</f>
        <v>Verticutt reels</v>
      </c>
      <c r="C163" s="211"/>
      <c r="D163" s="211"/>
      <c r="E163" s="82">
        <f>AnalysisYear-Components!I163-Components!J163</f>
        <v>2</v>
      </c>
      <c r="F163" s="82">
        <f>IF(H163&lt;0,Components!K163-MOD(AnalysisYear-Components!I163-Components!J163,Components!K163),AnalysisYear-Components!I163-Components!J163)</f>
        <v>2</v>
      </c>
      <c r="G163" s="11">
        <f>ROUND(Components!H163*IF(H163&lt;0,((1+InflationRate)^F163),((1+InflationRate)^H163)),0)</f>
        <v>15078</v>
      </c>
      <c r="H163" s="82">
        <f>IF(E163&gt;=0,Components!K163-E163,E163)</f>
        <v>10</v>
      </c>
      <c r="I163" s="82"/>
      <c r="J163" s="211"/>
      <c r="K163" s="29">
        <f>IF($H163&gt;0,FV(EarningsRate,F163,-'FF Deposit'!L163,1),Components!$H163)</f>
        <v>2258.2380719408975</v>
      </c>
      <c r="L163" s="29">
        <f>'FF Deposit'!L163+IF(Components!M163&gt;0,K163-Components!M163,K163*(1+EarningsRate))</f>
        <v>3423.5633539558185</v>
      </c>
      <c r="M163" s="29">
        <f>'FF Deposit'!M163+IF(Components!N163&gt;0,L163-Components!N163,L163*(1+EarningsRate))</f>
        <v>4613.3604668930529</v>
      </c>
      <c r="N163" s="29">
        <f>'FF Deposit'!N163+IF(Components!O163&gt;0,M163-Components!O163,M163*(1+EarningsRate))</f>
        <v>5828.1433192019686</v>
      </c>
      <c r="O163" s="29">
        <f>'FF Deposit'!O163+IF(Components!P163&gt;0,N163-Components!P163,N163*(1+EarningsRate))</f>
        <v>7068.4366114093718</v>
      </c>
      <c r="P163" s="29">
        <f>'FF Deposit'!P163+IF(Components!Q163&gt;0,O163-Components!Q163,O163*(1+EarningsRate))</f>
        <v>8334.7760627531297</v>
      </c>
      <c r="Q163" s="29">
        <f>'FF Deposit'!Q163+IF(Components!R163&gt;0,P163-Components!R163,P163*(1+EarningsRate))</f>
        <v>9627.7086425751077</v>
      </c>
      <c r="R163" s="29">
        <f>'FF Deposit'!R163+IF(Components!S163&gt;0,Q163-Components!S163,Q163*(1+EarningsRate))</f>
        <v>10947.792806573347</v>
      </c>
      <c r="S163" s="29">
        <f>'FF Deposit'!S163+IF(Components!T163&gt;0,R163-Components!T163,R163*(1+EarningsRate))</f>
        <v>12295.598738015549</v>
      </c>
      <c r="T163" s="29">
        <f>'FF Deposit'!T163+IF(Components!U163&gt;0,S163-Components!U163,S163*(1+EarningsRate))</f>
        <v>13671.708594018037</v>
      </c>
      <c r="U163" s="29">
        <f>'FF Deposit'!U163+IF(Components!V163&gt;0,T163-Components!V163,T163*(1+EarningsRate))</f>
        <v>15076.716756996577</v>
      </c>
      <c r="V163" s="29">
        <f>'FF Deposit'!V163+IF(Components!W163&gt;0,U163-Components!W163,U163*(1+EarningsRate))</f>
        <v>1687.9438580645729</v>
      </c>
      <c r="W163" s="29">
        <f>'FF Deposit'!W163+IF(Components!X163&gt;0,V163-Components!X163,V163*(1+EarningsRate))</f>
        <v>3412.6177801519248</v>
      </c>
      <c r="X163" s="29">
        <f>'FF Deposit'!X163+IF(Components!Y163&gt;0,W163-Components!Y163,W163*(1+EarningsRate))</f>
        <v>5173.5098546031113</v>
      </c>
      <c r="Y163" s="29">
        <f>'FF Deposit'!Y163+IF(Components!Z163&gt;0,X163-Components!Z163,X163*(1+EarningsRate))</f>
        <v>6971.380662617772</v>
      </c>
      <c r="Z163" s="29">
        <f>'FF Deposit'!Z163+IF(Components!AA163&gt;0,Y163-Components!AA163,Y163*(1+EarningsRate))</f>
        <v>8807.0067576007405</v>
      </c>
      <c r="AA163" s="29">
        <f>'FF Deposit'!AA163+IF(Components!AB163&gt;0,Z163-Components!AB163,Z163*(1+EarningsRate))</f>
        <v>10681.181000578352</v>
      </c>
      <c r="AB163" s="29">
        <f>'FF Deposit'!AB163+IF(Components!AC163&gt;0,AA163-Components!AC163,AA163*(1+EarningsRate))</f>
        <v>12594.712902658492</v>
      </c>
      <c r="AC163" s="29">
        <f>'FF Deposit'!AC163+IF(Components!AD163&gt;0,AB163-Components!AD163,AB163*(1+EarningsRate))</f>
        <v>14548.428974682314</v>
      </c>
      <c r="AD163" s="29">
        <f>'FF Deposit'!AD163+IF(Components!AE163&gt;0,AC163-Components!AE163,AC163*(1+EarningsRate))</f>
        <v>16543.173084218637</v>
      </c>
      <c r="AE163" s="29">
        <f>'FF Deposit'!AE163+IF(Components!AF163&gt;0,AD163-Components!AF163,AD163*(1+EarningsRate))</f>
        <v>18579.806820055222</v>
      </c>
      <c r="AF163" s="29">
        <f>'FF Deposit'!AF163+IF(Components!AG163&gt;0,AE163-Components!AG163,AE163*(1+EarningsRate))</f>
        <v>20659.209864344375</v>
      </c>
      <c r="AG163" s="29">
        <f>'FF Deposit'!AG163+IF(Components!AH163&gt;0,AF163-Components!AH163,AF163*(1+EarningsRate))</f>
        <v>22782.280372563604</v>
      </c>
      <c r="AH163" s="29">
        <f>'FF Deposit'!AH163+IF(Components!AI163&gt;0,AG163-Components!AI163,AG163*(1+EarningsRate))</f>
        <v>2550.8304634730894</v>
      </c>
      <c r="AI163" s="29">
        <f>'FF Deposit'!AI163+IF(Components!AJ163&gt;0,AH163-Components!AJ163,AH163*(1+EarningsRate))</f>
        <v>5156.9479941155096</v>
      </c>
      <c r="AJ163" s="29">
        <f>'FF Deposit'!AJ163+IF(Components!AK163&gt;0,AI163-Components!AK163,AI163*(1+EarningsRate))</f>
        <v>7817.7939929014201</v>
      </c>
      <c r="AK163" s="29">
        <f>'FF Deposit'!AK163+IF(Components!AL163&gt;0,AJ163-Components!AL163,AJ163*(1+EarningsRate))</f>
        <v>10534.517757661833</v>
      </c>
      <c r="AL163" s="29">
        <f>'FF Deposit'!AL163+IF(Components!AM163&gt;0,AK163-Components!AM163,AK163*(1+EarningsRate))</f>
        <v>13308.292721482216</v>
      </c>
      <c r="AM163" s="29">
        <f>'FF Deposit'!AM163+IF(Components!AN163&gt;0,AL163-Components!AN163,AL163*(1+EarningsRate))</f>
        <v>16140.316959542826</v>
      </c>
      <c r="AN163" s="29">
        <f>'FF Deposit'!AN163+IF(Components!AO163&gt;0,AM163-Components!AO163,AM163*(1+EarningsRate))</f>
        <v>19031.813706602708</v>
      </c>
      <c r="AO163" s="29">
        <f>'FF Deposit'!AO163+IF(Components!AP163&gt;0,AN163-Components!AP163,AN163*(1+EarningsRate))</f>
        <v>21984.031885350847</v>
      </c>
      <c r="AP163" s="53"/>
    </row>
    <row r="164" spans="1:42" s="1" customFormat="1">
      <c r="A164" s="220" t="str">
        <f>Components!B164</f>
        <v>Golf Equip</v>
      </c>
      <c r="B164" s="220" t="str">
        <f>Components!C164</f>
        <v>Weather Station</v>
      </c>
      <c r="C164" s="211"/>
      <c r="D164" s="211"/>
      <c r="E164" s="82">
        <f>AnalysisYear-Components!I164-Components!J164</f>
        <v>1</v>
      </c>
      <c r="F164" s="82">
        <f>IF(H164&lt;0,Components!K164-MOD(AnalysisYear-Components!I164-Components!J164,Components!K164),AnalysisYear-Components!I164-Components!J164)</f>
        <v>1</v>
      </c>
      <c r="G164" s="11">
        <f>ROUND(Components!H164*IF(H164&lt;0,((1+InflationRate)^F164),((1+InflationRate)^H164)),0)</f>
        <v>18733</v>
      </c>
      <c r="H164" s="82">
        <f>IF(E164&gt;=0,Components!K164-E164,E164)</f>
        <v>24</v>
      </c>
      <c r="I164" s="82"/>
      <c r="J164" s="211"/>
      <c r="K164" s="29">
        <f>IF($H164&gt;0,FV(EarningsRate,F164,-'FF Deposit'!L164,1),Components!$H164)</f>
        <v>576.39968477042112</v>
      </c>
      <c r="L164" s="29">
        <f>'FF Deposit'!L164+IF(Components!M164&gt;0,K164-Components!M164,K164*(1+EarningsRate))</f>
        <v>1165.9247629210236</v>
      </c>
      <c r="M164" s="29">
        <f>'FF Deposit'!M164+IF(Components!N164&gt;0,L164-Components!N164,L164*(1+EarningsRate))</f>
        <v>1767.8298677127887</v>
      </c>
      <c r="N164" s="29">
        <f>'FF Deposit'!N164+IF(Components!O164&gt;0,M164-Components!O164,M164*(1+EarningsRate))</f>
        <v>2382.3749797051805</v>
      </c>
      <c r="O164" s="29">
        <f>'FF Deposit'!O164+IF(Components!P164&gt;0,N164-Components!P164,N164*(1+EarningsRate))</f>
        <v>3009.8255390494128</v>
      </c>
      <c r="P164" s="29">
        <f>'FF Deposit'!P164+IF(Components!Q164&gt;0,O164-Components!Q164,O164*(1+EarningsRate))</f>
        <v>3650.4525601398736</v>
      </c>
      <c r="Q164" s="29">
        <f>'FF Deposit'!Q164+IF(Components!R164&gt;0,P164-Components!R164,P164*(1+EarningsRate))</f>
        <v>4304.5327486732349</v>
      </c>
      <c r="R164" s="29">
        <f>'FF Deposit'!R164+IF(Components!S164&gt;0,Q164-Components!S164,Q164*(1+EarningsRate))</f>
        <v>4972.3486211657964</v>
      </c>
      <c r="S164" s="29">
        <f>'FF Deposit'!S164+IF(Components!T164&gt;0,R164-Components!T164,R164*(1+EarningsRate))</f>
        <v>5654.188626980701</v>
      </c>
      <c r="T164" s="29">
        <f>'FF Deposit'!T164+IF(Components!U164&gt;0,S164-Components!U164,S164*(1+EarningsRate))</f>
        <v>6350.3472729177183</v>
      </c>
      <c r="U164" s="29">
        <f>'FF Deposit'!U164+IF(Components!V164&gt;0,T164-Components!V164,T164*(1+EarningsRate))</f>
        <v>7061.1252504194135</v>
      </c>
      <c r="V164" s="29">
        <f>'FF Deposit'!V164+IF(Components!W164&gt;0,U164-Components!W164,U164*(1+EarningsRate))</f>
        <v>7786.8295654486437</v>
      </c>
      <c r="W164" s="29">
        <f>'FF Deposit'!W164+IF(Components!X164&gt;0,V164-Components!X164,V164*(1+EarningsRate))</f>
        <v>8527.7736710934878</v>
      </c>
      <c r="X164" s="29">
        <f>'FF Deposit'!X164+IF(Components!Y164&gt;0,W164-Components!Y164,W164*(1+EarningsRate))</f>
        <v>9284.277602956874</v>
      </c>
      <c r="Y164" s="29">
        <f>'FF Deposit'!Y164+IF(Components!Z164&gt;0,X164-Components!Z164,X164*(1+EarningsRate))</f>
        <v>10056.668117389392</v>
      </c>
      <c r="Z164" s="29">
        <f>'FF Deposit'!Z164+IF(Components!AA164&gt;0,Y164-Components!AA164,Y164*(1+EarningsRate))</f>
        <v>10845.278832624994</v>
      </c>
      <c r="AA164" s="29">
        <f>'FF Deposit'!AA164+IF(Components!AB164&gt;0,Z164-Components!AB164,Z164*(1+EarningsRate))</f>
        <v>11650.450372880543</v>
      </c>
      <c r="AB164" s="29">
        <f>'FF Deposit'!AB164+IF(Components!AC164&gt;0,AA164-Components!AC164,AA164*(1+EarningsRate))</f>
        <v>12472.530515481458</v>
      </c>
      <c r="AC164" s="29">
        <f>'FF Deposit'!AC164+IF(Components!AD164&gt;0,AB164-Components!AD164,AB164*(1+EarningsRate))</f>
        <v>13311.874341076991</v>
      </c>
      <c r="AD164" s="29">
        <f>'FF Deposit'!AD164+IF(Components!AE164&gt;0,AC164-Components!AE164,AC164*(1+EarningsRate))</f>
        <v>14168.844387010031</v>
      </c>
      <c r="AE164" s="29">
        <f>'FF Deposit'!AE164+IF(Components!AF164&gt;0,AD164-Components!AF164,AD164*(1+EarningsRate))</f>
        <v>15043.810803907665</v>
      </c>
      <c r="AF164" s="29">
        <f>'FF Deposit'!AF164+IF(Components!AG164&gt;0,AE164-Components!AG164,AE164*(1+EarningsRate))</f>
        <v>15937.15151556015</v>
      </c>
      <c r="AG164" s="29">
        <f>'FF Deposit'!AG164+IF(Components!AH164&gt;0,AF164-Components!AH164,AF164*(1+EarningsRate))</f>
        <v>16849.252382157334</v>
      </c>
      <c r="AH164" s="29">
        <f>'FF Deposit'!AH164+IF(Components!AI164&gt;0,AG164-Components!AI164,AG164*(1+EarningsRate))</f>
        <v>17780.507366953057</v>
      </c>
      <c r="AI164" s="29">
        <f>'FF Deposit'!AI164+IF(Components!AJ164&gt;0,AH164-Components!AJ164,AH164*(1+EarningsRate))</f>
        <v>18731.318706429494</v>
      </c>
      <c r="AJ164" s="29">
        <f>'FF Deposit'!AJ164+IF(Components!AK164&gt;0,AI164-Components!AK164,AI164*(1+EarningsRate))</f>
        <v>1362.9052435252374</v>
      </c>
      <c r="AK164" s="29">
        <f>'FF Deposit'!AK164+IF(Components!AL164&gt;0,AJ164-Components!AL164,AJ164*(1+EarningsRate))</f>
        <v>2756.1127907350101</v>
      </c>
      <c r="AL164" s="29">
        <f>'FF Deposit'!AL164+IF(Components!AM164&gt;0,AK164-Components!AM164,AK164*(1+EarningsRate))</f>
        <v>4178.5776964361885</v>
      </c>
      <c r="AM164" s="29">
        <f>'FF Deposit'!AM164+IF(Components!AN164&gt;0,AL164-Components!AN164,AL164*(1+EarningsRate))</f>
        <v>5630.9143651570903</v>
      </c>
      <c r="AN164" s="29">
        <f>'FF Deposit'!AN164+IF(Components!AO164&gt;0,AM164-Components!AO164,AM164*(1+EarningsRate))</f>
        <v>7113.7501039211311</v>
      </c>
      <c r="AO164" s="29">
        <f>'FF Deposit'!AO164+IF(Components!AP164&gt;0,AN164-Components!AP164,AN164*(1+EarningsRate))</f>
        <v>8627.7253931992182</v>
      </c>
      <c r="AP164" s="53"/>
    </row>
    <row r="165" spans="1:42" s="1" customFormat="1">
      <c r="A165" s="220" t="str">
        <f>Components!B165</f>
        <v>Asphalt R&amp;R</v>
      </c>
      <c r="B165" s="220" t="str">
        <f>Components!C165</f>
        <v>Linvale Place</v>
      </c>
      <c r="C165" s="211"/>
      <c r="D165" s="211"/>
      <c r="E165" s="82">
        <f>AnalysisYear-Components!I165-Components!J165</f>
        <v>6</v>
      </c>
      <c r="F165" s="82">
        <f>IF(H165&lt;0,Components!K165-MOD(AnalysisYear-Components!I165-Components!J165,Components!K165),AnalysisYear-Components!I165-Components!J165)</f>
        <v>6</v>
      </c>
      <c r="G165" s="11">
        <f>ROUND(Components!H165*IF(H165&lt;0,((1+InflationRate)^F165),((1+InflationRate)^H165)),0)</f>
        <v>558624</v>
      </c>
      <c r="H165" s="82">
        <f>IF(E165&gt;=0,Components!K165-E165,E165)</f>
        <v>24</v>
      </c>
      <c r="I165" s="82"/>
      <c r="J165" s="211"/>
      <c r="K165" s="29">
        <f>IF($H165&gt;0,FV(EarningsRate,F165,-'FF Deposit'!L165,1),Components!$H165)</f>
        <v>85724.45838281457</v>
      </c>
      <c r="L165" s="29">
        <f>'FF Deposit'!L165+IF(Components!M165&gt;0,K165-Components!M165,K165*(1+EarningsRate))</f>
        <v>101080.35389498096</v>
      </c>
      <c r="M165" s="29">
        <f>'FF Deposit'!M165+IF(Components!N165&gt;0,L165-Components!N165,L165*(1+EarningsRate))</f>
        <v>116758.72321290284</v>
      </c>
      <c r="N165" s="29">
        <f>'FF Deposit'!N165+IF(Components!O165&gt;0,M165-Components!O165,M165*(1+EarningsRate))</f>
        <v>132766.33828650109</v>
      </c>
      <c r="O165" s="29">
        <f>'FF Deposit'!O165+IF(Components!P165&gt;0,N165-Components!P165,N165*(1+EarningsRate))</f>
        <v>149110.1132766449</v>
      </c>
      <c r="P165" s="29">
        <f>'FF Deposit'!P165+IF(Components!Q165&gt;0,O165-Components!Q165,O165*(1+EarningsRate))</f>
        <v>165797.10754158173</v>
      </c>
      <c r="Q165" s="29">
        <f>'FF Deposit'!Q165+IF(Components!R165&gt;0,P165-Components!R165,P165*(1+EarningsRate))</f>
        <v>182834.52868608225</v>
      </c>
      <c r="R165" s="29">
        <f>'FF Deposit'!R165+IF(Components!S165&gt;0,Q165-Components!S165,Q165*(1+EarningsRate))</f>
        <v>200229.73567461726</v>
      </c>
      <c r="S165" s="29">
        <f>'FF Deposit'!S165+IF(Components!T165&gt;0,R165-Components!T165,R165*(1+EarningsRate))</f>
        <v>217990.24200991151</v>
      </c>
      <c r="T165" s="29">
        <f>'FF Deposit'!T165+IF(Components!U165&gt;0,S165-Components!U165,S165*(1+EarningsRate))</f>
        <v>236123.71897824694</v>
      </c>
      <c r="U165" s="29">
        <f>'FF Deposit'!U165+IF(Components!V165&gt;0,T165-Components!V165,T165*(1+EarningsRate))</f>
        <v>254637.99896291739</v>
      </c>
      <c r="V165" s="29">
        <f>'FF Deposit'!V165+IF(Components!W165&gt;0,U165-Components!W165,U165*(1+EarningsRate))</f>
        <v>273541.07882726594</v>
      </c>
      <c r="W165" s="29">
        <f>'FF Deposit'!W165+IF(Components!X165&gt;0,V165-Components!X165,V165*(1+EarningsRate))</f>
        <v>292841.12336876575</v>
      </c>
      <c r="X165" s="29">
        <f>'FF Deposit'!X165+IF(Components!Y165&gt;0,W165-Components!Y165,W165*(1+EarningsRate))</f>
        <v>312546.46884563711</v>
      </c>
      <c r="Y165" s="29">
        <f>'FF Deposit'!Y165+IF(Components!Z165&gt;0,X165-Components!Z165,X165*(1+EarningsRate))</f>
        <v>332665.62657752272</v>
      </c>
      <c r="Z165" s="29">
        <f>'FF Deposit'!Z165+IF(Components!AA165&gt;0,Y165-Components!AA165,Y165*(1+EarningsRate))</f>
        <v>353207.28662177792</v>
      </c>
      <c r="AA165" s="29">
        <f>'FF Deposit'!AA165+IF(Components!AB165&gt;0,Z165-Components!AB165,Z165*(1+EarningsRate))</f>
        <v>374180.32152696251</v>
      </c>
      <c r="AB165" s="29">
        <f>'FF Deposit'!AB165+IF(Components!AC165&gt;0,AA165-Components!AC165,AA165*(1+EarningsRate))</f>
        <v>395593.79016515595</v>
      </c>
      <c r="AC165" s="29">
        <f>'FF Deposit'!AC165+IF(Components!AD165&gt;0,AB165-Components!AD165,AB165*(1+EarningsRate))</f>
        <v>417456.94164475147</v>
      </c>
      <c r="AD165" s="29">
        <f>'FF Deposit'!AD165+IF(Components!AE165&gt;0,AC165-Components!AE165,AC165*(1+EarningsRate))</f>
        <v>439779.21930541849</v>
      </c>
      <c r="AE165" s="29">
        <f>'FF Deposit'!AE165+IF(Components!AF165&gt;0,AD165-Components!AF165,AD165*(1+EarningsRate))</f>
        <v>462570.26479695953</v>
      </c>
      <c r="AF165" s="29">
        <f>'FF Deposit'!AF165+IF(Components!AG165&gt;0,AE165-Components!AG165,AE165*(1+EarningsRate))</f>
        <v>485839.92224382289</v>
      </c>
      <c r="AG165" s="29">
        <f>'FF Deposit'!AG165+IF(Components!AH165&gt;0,AF165-Components!AH165,AF165*(1+EarningsRate))</f>
        <v>509598.2424970704</v>
      </c>
      <c r="AH165" s="29">
        <f>'FF Deposit'!AH165+IF(Components!AI165&gt;0,AG165-Components!AI165,AG165*(1+EarningsRate))</f>
        <v>533855.48747563618</v>
      </c>
      <c r="AI165" s="29">
        <f>'FF Deposit'!AI165+IF(Components!AJ165&gt;0,AH165-Components!AJ165,AH165*(1+EarningsRate))</f>
        <v>558622.13459875179</v>
      </c>
      <c r="AJ165" s="29">
        <f>'FF Deposit'!AJ165+IF(Components!AK165&gt;0,AI165-Components!AK165,AI165*(1+EarningsRate))</f>
        <v>38046.137179685298</v>
      </c>
      <c r="AK165" s="29">
        <f>'FF Deposit'!AK165+IF(Components!AL165&gt;0,AJ165-Components!AL165,AJ165*(1+EarningsRate))</f>
        <v>76893.108641392202</v>
      </c>
      <c r="AL165" s="29">
        <f>'FF Deposit'!AL165+IF(Components!AM165&gt;0,AK165-Components!AM165,AK165*(1+EarningsRate))</f>
        <v>116555.86650379494</v>
      </c>
      <c r="AM165" s="29">
        <f>'FF Deposit'!AM165+IF(Components!AN165&gt;0,AL165-Components!AN165,AL165*(1+EarningsRate))</f>
        <v>157051.54228130812</v>
      </c>
      <c r="AN165" s="29">
        <f>'FF Deposit'!AN165+IF(Components!AO165&gt;0,AM165-Components!AO165,AM165*(1+EarningsRate))</f>
        <v>198397.62725014909</v>
      </c>
      <c r="AO165" s="29">
        <f>'FF Deposit'!AO165+IF(Components!AP165&gt;0,AN165-Components!AP165,AN165*(1+EarningsRate))</f>
        <v>240611.98000333572</v>
      </c>
      <c r="AP165" s="53"/>
    </row>
    <row r="166" spans="1:42" s="1" customFormat="1">
      <c r="A166" s="220" t="str">
        <f>Components!B166</f>
        <v>Asphalt R&amp;R</v>
      </c>
      <c r="B166" s="220" t="str">
        <f>Components!C166</f>
        <v>Overflow Lot Across/216</v>
      </c>
      <c r="C166" s="211"/>
      <c r="D166" s="211"/>
      <c r="E166" s="82">
        <f>AnalysisYear-Components!I166-Components!J166</f>
        <v>8</v>
      </c>
      <c r="F166" s="82">
        <f>IF(H166&lt;0,Components!K166-MOD(AnalysisYear-Components!I166-Components!J166,Components!K166),AnalysisYear-Components!I166-Components!J166)</f>
        <v>8</v>
      </c>
      <c r="G166" s="11">
        <f>ROUND(Components!H166*IF(H166&lt;0,((1+InflationRate)^F166),((1+InflationRate)^H166)),0)</f>
        <v>127911</v>
      </c>
      <c r="H166" s="82">
        <f>IF(E166&gt;=0,Components!K166-E166,E166)</f>
        <v>22</v>
      </c>
      <c r="I166" s="82"/>
      <c r="J166" s="211"/>
      <c r="K166" s="29">
        <f>IF($H166&gt;0,FV(EarningsRate,F166,-'FF Deposit'!L166,1),Components!$H166)</f>
        <v>26733.932706650041</v>
      </c>
      <c r="L166" s="29">
        <f>'FF Deposit'!L166+IF(Components!M166&gt;0,K166-Components!M166,K166*(1+EarningsRate))</f>
        <v>30399.259242293228</v>
      </c>
      <c r="M166" s="29">
        <f>'FF Deposit'!M166+IF(Components!N166&gt;0,L166-Components!N166,L166*(1+EarningsRate))</f>
        <v>34141.557635184923</v>
      </c>
      <c r="N166" s="29">
        <f>'FF Deposit'!N166+IF(Components!O166&gt;0,M166-Components!O166,M166*(1+EarningsRate))</f>
        <v>37962.444294327339</v>
      </c>
      <c r="O166" s="29">
        <f>'FF Deposit'!O166+IF(Components!P166&gt;0,N166-Components!P166,N166*(1+EarningsRate))</f>
        <v>41863.569573311746</v>
      </c>
      <c r="P166" s="29">
        <f>'FF Deposit'!P166+IF(Components!Q166&gt;0,O166-Components!Q166,O166*(1+EarningsRate))</f>
        <v>45846.618483154823</v>
      </c>
      <c r="Q166" s="29">
        <f>'FF Deposit'!Q166+IF(Components!R166&gt;0,P166-Components!R166,P166*(1+EarningsRate))</f>
        <v>49913.311420104605</v>
      </c>
      <c r="R166" s="29">
        <f>'FF Deposit'!R166+IF(Components!S166&gt;0,Q166-Components!S166,Q166*(1+EarningsRate))</f>
        <v>54065.404908730336</v>
      </c>
      <c r="S166" s="29">
        <f>'FF Deposit'!S166+IF(Components!T166&gt;0,R166-Components!T166,R166*(1+EarningsRate))</f>
        <v>58304.692360617206</v>
      </c>
      <c r="T166" s="29">
        <f>'FF Deposit'!T166+IF(Components!U166&gt;0,S166-Components!U166,S166*(1+EarningsRate))</f>
        <v>62633.004848993696</v>
      </c>
      <c r="U166" s="29">
        <f>'FF Deposit'!U166+IF(Components!V166&gt;0,T166-Components!V166,T166*(1+EarningsRate))</f>
        <v>67052.211899626098</v>
      </c>
      <c r="V166" s="29">
        <f>'FF Deposit'!V166+IF(Components!W166&gt;0,U166-Components!W166,U166*(1+EarningsRate))</f>
        <v>71564.22229832178</v>
      </c>
      <c r="W166" s="29">
        <f>'FF Deposit'!W166+IF(Components!X166&gt;0,V166-Components!X166,V166*(1+EarningsRate))</f>
        <v>76170.984915390072</v>
      </c>
      <c r="X166" s="29">
        <f>'FF Deposit'!X166+IF(Components!Y166&gt;0,W166-Components!Y166,W166*(1+EarningsRate))</f>
        <v>80874.489547416801</v>
      </c>
      <c r="Y166" s="29">
        <f>'FF Deposit'!Y166+IF(Components!Z166&gt;0,X166-Components!Z166,X166*(1+EarningsRate))</f>
        <v>85676.767776716093</v>
      </c>
      <c r="Z166" s="29">
        <f>'FF Deposit'!Z166+IF(Components!AA166&gt;0,Y166-Components!AA166,Y166*(1+EarningsRate))</f>
        <v>90579.893848830659</v>
      </c>
      <c r="AA166" s="29">
        <f>'FF Deposit'!AA166+IF(Components!AB166&gt;0,Z166-Components!AB166,Z166*(1+EarningsRate))</f>
        <v>95585.98556845964</v>
      </c>
      <c r="AB166" s="29">
        <f>'FF Deposit'!AB166+IF(Components!AC166&gt;0,AA166-Components!AC166,AA166*(1+EarningsRate))</f>
        <v>100697.20521420083</v>
      </c>
      <c r="AC166" s="29">
        <f>'FF Deposit'!AC166+IF(Components!AD166&gt;0,AB166-Components!AD166,AB166*(1+EarningsRate))</f>
        <v>105915.76047250259</v>
      </c>
      <c r="AD166" s="29">
        <f>'FF Deposit'!AD166+IF(Components!AE166&gt;0,AC166-Components!AE166,AC166*(1+EarningsRate))</f>
        <v>111243.90539122868</v>
      </c>
      <c r="AE166" s="29">
        <f>'FF Deposit'!AE166+IF(Components!AF166&gt;0,AD166-Components!AF166,AD166*(1+EarningsRate))</f>
        <v>116683.94135324801</v>
      </c>
      <c r="AF166" s="29">
        <f>'FF Deposit'!AF166+IF(Components!AG166&gt;0,AE166-Components!AG166,AE166*(1+EarningsRate))</f>
        <v>122238.21807046975</v>
      </c>
      <c r="AG166" s="29">
        <f>'FF Deposit'!AG166+IF(Components!AH166&gt;0,AF166-Components!AH166,AF166*(1+EarningsRate))</f>
        <v>127909.13459875315</v>
      </c>
      <c r="AH166" s="29">
        <f>'FF Deposit'!AH166+IF(Components!AI166&gt;0,AG166-Components!AI166,AG166*(1+EarningsRate))</f>
        <v>8710.1807301935969</v>
      </c>
      <c r="AI166" s="29">
        <f>'FF Deposit'!AI166+IF(Components!AJ166&gt;0,AH166-Components!AJ166,AH166*(1+EarningsRate))</f>
        <v>17605.140656968106</v>
      </c>
      <c r="AJ166" s="29">
        <f>'FF Deposit'!AJ166+IF(Components!AK166&gt;0,AI166-Components!AK166,AI166*(1+EarningsRate))</f>
        <v>26686.89474220488</v>
      </c>
      <c r="AK166" s="29">
        <f>'FF Deposit'!AK166+IF(Components!AL166&gt;0,AJ166-Components!AL166,AJ166*(1+EarningsRate))</f>
        <v>35959.365663231627</v>
      </c>
      <c r="AL166" s="29">
        <f>'FF Deposit'!AL166+IF(Components!AM166&gt;0,AK166-Components!AM166,AK166*(1+EarningsRate))</f>
        <v>45426.558473599936</v>
      </c>
      <c r="AM166" s="29">
        <f>'FF Deposit'!AM166+IF(Components!AN166&gt;0,AL166-Components!AN166,AL166*(1+EarningsRate))</f>
        <v>55092.562332985974</v>
      </c>
      <c r="AN166" s="29">
        <f>'FF Deposit'!AN166+IF(Components!AO166&gt;0,AM166-Components!AO166,AM166*(1+EarningsRate))</f>
        <v>64961.552273419118</v>
      </c>
      <c r="AO166" s="29">
        <f>'FF Deposit'!AO166+IF(Components!AP166&gt;0,AN166-Components!AP166,AN166*(1+EarningsRate))</f>
        <v>75037.791002601356</v>
      </c>
      <c r="AP166" s="53"/>
    </row>
    <row r="167" spans="1:42" s="1" customFormat="1">
      <c r="A167" s="220" t="str">
        <f>Components!B167</f>
        <v>Asphalt R&amp;R</v>
      </c>
      <c r="B167" s="220" t="str">
        <f>Components!C167</f>
        <v>Parking Lot - 250</v>
      </c>
      <c r="C167" s="211"/>
      <c r="D167" s="211"/>
      <c r="E167" s="82">
        <f>AnalysisYear-Components!I167-Components!J167</f>
        <v>7</v>
      </c>
      <c r="F167" s="82">
        <f>IF(H167&lt;0,Components!K167-MOD(AnalysisYear-Components!I167-Components!J167,Components!K167),AnalysisYear-Components!I167-Components!J167)</f>
        <v>7</v>
      </c>
      <c r="G167" s="11">
        <f>ROUND(Components!H167*IF(H167&lt;0,((1+InflationRate)^F167),((1+InflationRate)^H167)),0)</f>
        <v>215455</v>
      </c>
      <c r="H167" s="82">
        <f>IF(E167&gt;=0,Components!K167-E167,E167)</f>
        <v>23</v>
      </c>
      <c r="I167" s="82"/>
      <c r="J167" s="211"/>
      <c r="K167" s="29">
        <f>IF($H167&gt;0,FV(EarningsRate,F167,-'FF Deposit'!L167,1),Components!$H167)</f>
        <v>38984.846232731463</v>
      </c>
      <c r="L167" s="29">
        <f>'FF Deposit'!L167+IF(Components!M167&gt;0,K167-Components!M167,K167*(1+EarningsRate))</f>
        <v>45031.802193011965</v>
      </c>
      <c r="M167" s="29">
        <f>'FF Deposit'!M167+IF(Components!N167&gt;0,L167-Components!N167,L167*(1+EarningsRate))</f>
        <v>51205.744228458359</v>
      </c>
      <c r="N167" s="29">
        <f>'FF Deposit'!N167+IF(Components!O167&gt;0,M167-Components!O167,M167*(1+EarningsRate))</f>
        <v>57509.339046649126</v>
      </c>
      <c r="O167" s="29">
        <f>'FF Deposit'!O167+IF(Components!P167&gt;0,N167-Components!P167,N167*(1+EarningsRate))</f>
        <v>63945.309356021899</v>
      </c>
      <c r="P167" s="29">
        <f>'FF Deposit'!P167+IF(Components!Q167&gt;0,O167-Components!Q167,O167*(1+EarningsRate))</f>
        <v>70516.435041891498</v>
      </c>
      <c r="Q167" s="29">
        <f>'FF Deposit'!Q167+IF(Components!R167&gt;0,P167-Components!R167,P167*(1+EarningsRate))</f>
        <v>77225.554367164354</v>
      </c>
      <c r="R167" s="29">
        <f>'FF Deposit'!R167+IF(Components!S167&gt;0,Q167-Components!S167,Q167*(1+EarningsRate))</f>
        <v>84075.565198267941</v>
      </c>
      <c r="S167" s="29">
        <f>'FF Deposit'!S167+IF(Components!T167&gt;0,R167-Components!T167,R167*(1+EarningsRate))</f>
        <v>91069.426256824692</v>
      </c>
      <c r="T167" s="29">
        <f>'FF Deposit'!T167+IF(Components!U167&gt;0,S167-Components!U167,S167*(1+EarningsRate))</f>
        <v>98210.158397611143</v>
      </c>
      <c r="U167" s="29">
        <f>'FF Deposit'!U167+IF(Components!V167&gt;0,T167-Components!V167,T167*(1+EarningsRate))</f>
        <v>105500.8459133541</v>
      </c>
      <c r="V167" s="29">
        <f>'FF Deposit'!V167+IF(Components!W167&gt;0,U167-Components!W167,U167*(1+EarningsRate))</f>
        <v>112944.63786692767</v>
      </c>
      <c r="W167" s="29">
        <f>'FF Deposit'!W167+IF(Components!X167&gt;0,V167-Components!X167,V167*(1+EarningsRate))</f>
        <v>120544.74945152628</v>
      </c>
      <c r="X167" s="29">
        <f>'FF Deposit'!X167+IF(Components!Y167&gt;0,W167-Components!Y167,W167*(1+EarningsRate))</f>
        <v>128304.46337940147</v>
      </c>
      <c r="Y167" s="29">
        <f>'FF Deposit'!Y167+IF(Components!Z167&gt;0,X167-Components!Z167,X167*(1+EarningsRate))</f>
        <v>136227.13129976203</v>
      </c>
      <c r="Z167" s="29">
        <f>'FF Deposit'!Z167+IF(Components!AA167&gt;0,Y167-Components!AA167,Y167*(1+EarningsRate))</f>
        <v>144316.17524645018</v>
      </c>
      <c r="AA167" s="29">
        <f>'FF Deposit'!AA167+IF(Components!AB167&gt;0,Z167-Components!AB167,Z167*(1+EarningsRate))</f>
        <v>152575.08911601876</v>
      </c>
      <c r="AB167" s="29">
        <f>'FF Deposit'!AB167+IF(Components!AC167&gt;0,AA167-Components!AC167,AA167*(1+EarningsRate))</f>
        <v>161007.44017684829</v>
      </c>
      <c r="AC167" s="29">
        <f>'FF Deposit'!AC167+IF(Components!AD167&gt;0,AB167-Components!AD167,AB167*(1+EarningsRate))</f>
        <v>169616.87060995525</v>
      </c>
      <c r="AD167" s="29">
        <f>'FF Deposit'!AD167+IF(Components!AE167&gt;0,AC167-Components!AE167,AC167*(1+EarningsRate))</f>
        <v>178407.09908215745</v>
      </c>
      <c r="AE167" s="29">
        <f>'FF Deposit'!AE167+IF(Components!AF167&gt;0,AD167-Components!AF167,AD167*(1+EarningsRate))</f>
        <v>187381.9223522759</v>
      </c>
      <c r="AF167" s="29">
        <f>'FF Deposit'!AF167+IF(Components!AG167&gt;0,AE167-Components!AG167,AE167*(1+EarningsRate))</f>
        <v>196545.21691106682</v>
      </c>
      <c r="AG167" s="29">
        <f>'FF Deposit'!AG167+IF(Components!AH167&gt;0,AF167-Components!AH167,AF167*(1+EarningsRate))</f>
        <v>205900.94065559236</v>
      </c>
      <c r="AH167" s="29">
        <f>'FF Deposit'!AH167+IF(Components!AI167&gt;0,AG167-Components!AI167,AG167*(1+EarningsRate))</f>
        <v>215453.13459875295</v>
      </c>
      <c r="AI167" s="29">
        <f>'FF Deposit'!AI167+IF(Components!AJ167&gt;0,AH167-Components!AJ167,AH167*(1+EarningsRate))</f>
        <v>14672.821680000856</v>
      </c>
      <c r="AJ167" s="29">
        <f>'FF Deposit'!AJ167+IF(Components!AK167&gt;0,AI167-Components!AK167,AI167*(1+EarningsRate))</f>
        <v>29655.638016528777</v>
      </c>
      <c r="AK167" s="29">
        <f>'FF Deposit'!AK167+IF(Components!AL167&gt;0,AJ167-Components!AL167,AJ167*(1+EarningsRate))</f>
        <v>44953.093496123787</v>
      </c>
      <c r="AL167" s="29">
        <f>'FF Deposit'!AL167+IF(Components!AM167&gt;0,AK167-Components!AM167,AK167*(1+EarningsRate))</f>
        <v>60571.795540790292</v>
      </c>
      <c r="AM167" s="29">
        <f>'FF Deposit'!AM167+IF(Components!AN167&gt;0,AL167-Components!AN167,AL167*(1+EarningsRate))</f>
        <v>76518.490328394793</v>
      </c>
      <c r="AN167" s="29">
        <f>'FF Deposit'!AN167+IF(Components!AO167&gt;0,AM167-Components!AO167,AM167*(1+EarningsRate))</f>
        <v>92800.065706538982</v>
      </c>
      <c r="AO167" s="29">
        <f>'FF Deposit'!AO167+IF(Components!AP167&gt;0,AN167-Components!AP167,AN167*(1+EarningsRate))</f>
        <v>109423.5541676242</v>
      </c>
      <c r="AP167" s="53"/>
    </row>
    <row r="168" spans="1:42" s="1" customFormat="1">
      <c r="A168" s="220" t="str">
        <f>Components!B168</f>
        <v>Asphalt R&amp;R</v>
      </c>
      <c r="B168" s="220" t="str">
        <f>Components!C168</f>
        <v>Parking Lot - Club</v>
      </c>
      <c r="C168" s="211"/>
      <c r="D168" s="211"/>
      <c r="E168" s="82">
        <f>AnalysisYear-Components!I168-Components!J168</f>
        <v>8</v>
      </c>
      <c r="F168" s="82">
        <f>IF(H168&lt;0,Components!K168-MOD(AnalysisYear-Components!I168-Components!J168,Components!K168),AnalysisYear-Components!I168-Components!J168)</f>
        <v>8</v>
      </c>
      <c r="G168" s="11">
        <f>ROUND(Components!H168*IF(H168&lt;0,((1+InflationRate)^F168),((1+InflationRate)^H168)),0)</f>
        <v>224803</v>
      </c>
      <c r="H168" s="82">
        <f>IF(E168&gt;=0,Components!K168-E168,E168)</f>
        <v>22</v>
      </c>
      <c r="I168" s="82"/>
      <c r="J168" s="211"/>
      <c r="K168" s="29">
        <f>IF($H168&gt;0,FV(EarningsRate,F168,-'FF Deposit'!L168,1),Components!$H168)</f>
        <v>46985.659498578374</v>
      </c>
      <c r="L168" s="29">
        <f>'FF Deposit'!L168+IF(Components!M168&gt;0,K168-Components!M168,K168*(1+EarningsRate))</f>
        <v>53427.472978009049</v>
      </c>
      <c r="M168" s="29">
        <f>'FF Deposit'!M168+IF(Components!N168&gt;0,L168-Components!N168,L168*(1+EarningsRate))</f>
        <v>60004.564540507767</v>
      </c>
      <c r="N168" s="29">
        <f>'FF Deposit'!N168+IF(Components!O168&gt;0,M168-Components!O168,M168*(1+EarningsRate))</f>
        <v>66719.775025818963</v>
      </c>
      <c r="O168" s="29">
        <f>'FF Deposit'!O168+IF(Components!P168&gt;0,N168-Components!P168,N168*(1+EarningsRate))</f>
        <v>73576.004931321688</v>
      </c>
      <c r="P168" s="29">
        <f>'FF Deposit'!P168+IF(Components!Q168&gt;0,O168-Components!Q168,O168*(1+EarningsRate))</f>
        <v>80576.215664839969</v>
      </c>
      <c r="Q168" s="29">
        <f>'FF Deposit'!Q168+IF(Components!R168&gt;0,P168-Components!R168,P168*(1+EarningsRate))</f>
        <v>87723.43082376213</v>
      </c>
      <c r="R168" s="29">
        <f>'FF Deposit'!R168+IF(Components!S168&gt;0,Q168-Components!S168,Q168*(1+EarningsRate))</f>
        <v>95020.737501021664</v>
      </c>
      <c r="S168" s="29">
        <f>'FF Deposit'!S168+IF(Components!T168&gt;0,R168-Components!T168,R168*(1+EarningsRate))</f>
        <v>102471.28761850364</v>
      </c>
      <c r="T168" s="29">
        <f>'FF Deposit'!T168+IF(Components!U168&gt;0,S168-Components!U168,S168*(1+EarningsRate))</f>
        <v>110078.29928845275</v>
      </c>
      <c r="U168" s="29">
        <f>'FF Deposit'!U168+IF(Components!V168&gt;0,T168-Components!V168,T168*(1+EarningsRate))</f>
        <v>117845.05820347078</v>
      </c>
      <c r="V168" s="29">
        <f>'FF Deposit'!V168+IF(Components!W168&gt;0,U168-Components!W168,U168*(1+EarningsRate))</f>
        <v>125774.91905570419</v>
      </c>
      <c r="W168" s="29">
        <f>'FF Deposit'!W168+IF(Components!X168&gt;0,V168-Components!X168,V168*(1+EarningsRate))</f>
        <v>133871.3069858345</v>
      </c>
      <c r="X168" s="29">
        <f>'FF Deposit'!X168+IF(Components!Y168&gt;0,W168-Components!Y168,W168*(1+EarningsRate))</f>
        <v>142137.71906249755</v>
      </c>
      <c r="Y168" s="29">
        <f>'FF Deposit'!Y168+IF(Components!Z168&gt;0,X168-Components!Z168,X168*(1+EarningsRate))</f>
        <v>150577.72579277051</v>
      </c>
      <c r="Z168" s="29">
        <f>'FF Deposit'!Z168+IF(Components!AA168&gt;0,Y168-Components!AA168,Y168*(1+EarningsRate))</f>
        <v>159194.97266437919</v>
      </c>
      <c r="AA168" s="29">
        <f>'FF Deposit'!AA168+IF(Components!AB168&gt;0,Z168-Components!AB168,Z168*(1+EarningsRate))</f>
        <v>167993.18172029167</v>
      </c>
      <c r="AB168" s="29">
        <f>'FF Deposit'!AB168+IF(Components!AC168&gt;0,AA168-Components!AC168,AA168*(1+EarningsRate))</f>
        <v>176976.15316637832</v>
      </c>
      <c r="AC168" s="29">
        <f>'FF Deposit'!AC168+IF(Components!AD168&gt;0,AB168-Components!AD168,AB168*(1+EarningsRate))</f>
        <v>186147.76701283277</v>
      </c>
      <c r="AD168" s="29">
        <f>'FF Deposit'!AD168+IF(Components!AE168&gt;0,AC168-Components!AE168,AC168*(1+EarningsRate))</f>
        <v>195511.98475006278</v>
      </c>
      <c r="AE168" s="29">
        <f>'FF Deposit'!AE168+IF(Components!AF168&gt;0,AD168-Components!AF168,AD168*(1+EarningsRate))</f>
        <v>205072.85105977461</v>
      </c>
      <c r="AF168" s="29">
        <f>'FF Deposit'!AF168+IF(Components!AG168&gt;0,AE168-Components!AG168,AE168*(1+EarningsRate))</f>
        <v>214834.49556199039</v>
      </c>
      <c r="AG168" s="29">
        <f>'FF Deposit'!AG168+IF(Components!AH168&gt;0,AF168-Components!AH168,AF168*(1+EarningsRate))</f>
        <v>224801.13459875272</v>
      </c>
      <c r="AH168" s="29">
        <f>'FF Deposit'!AH168+IF(Components!AI168&gt;0,AG168-Components!AI168,AG168*(1+EarningsRate))</f>
        <v>15309.516000557147</v>
      </c>
      <c r="AI168" s="29">
        <f>'FF Deposit'!AI168+IF(Components!AJ168&gt;0,AH168-Components!AJ168,AH168*(1+EarningsRate))</f>
        <v>30942.397238373276</v>
      </c>
      <c r="AJ168" s="29">
        <f>'FF Deposit'!AJ168+IF(Components!AK168&gt;0,AI168-Components!AK168,AI168*(1+EarningsRate))</f>
        <v>46903.56898218354</v>
      </c>
      <c r="AK168" s="29">
        <f>'FF Deposit'!AK168+IF(Components!AL168&gt;0,AJ168-Components!AL168,AJ168*(1+EarningsRate))</f>
        <v>63199.925332613821</v>
      </c>
      <c r="AL168" s="29">
        <f>'FF Deposit'!AL168+IF(Components!AM168&gt;0,AK168-Components!AM168,AK168*(1+EarningsRate))</f>
        <v>79838.505166403134</v>
      </c>
      <c r="AM168" s="29">
        <f>'FF Deposit'!AM168+IF(Components!AN168&gt;0,AL168-Components!AN168,AL168*(1+EarningsRate))</f>
        <v>96826.495176702025</v>
      </c>
      <c r="AN168" s="29">
        <f>'FF Deposit'!AN168+IF(Components!AO168&gt;0,AM168-Components!AO168,AM168*(1+EarningsRate))</f>
        <v>114171.23297721719</v>
      </c>
      <c r="AO168" s="29">
        <f>'FF Deposit'!AO168+IF(Components!AP168&gt;0,AN168-Components!AP168,AN168*(1+EarningsRate))</f>
        <v>131880.21027154318</v>
      </c>
      <c r="AP168" s="53"/>
    </row>
    <row r="169" spans="1:42" s="1" customFormat="1">
      <c r="A169" s="220" t="str">
        <f>Components!B169</f>
        <v>Asphalt R&amp;R</v>
      </c>
      <c r="B169" s="220" t="str">
        <f>Components!C169</f>
        <v>Parking Lot - Shop</v>
      </c>
      <c r="C169" s="211"/>
      <c r="D169" s="211"/>
      <c r="E169" s="82">
        <f>AnalysisYear-Components!I169-Components!J169</f>
        <v>30</v>
      </c>
      <c r="F169" s="82">
        <f>IF(H169&lt;0,Components!K169-MOD(AnalysisYear-Components!I169-Components!J169,Components!K169),AnalysisYear-Components!I169-Components!J169)</f>
        <v>30</v>
      </c>
      <c r="G169" s="11">
        <f>ROUND(Components!H169*IF(H169&lt;0,((1+InflationRate)^F169),((1+InflationRate)^H169)),0)</f>
        <v>57277</v>
      </c>
      <c r="H169" s="82">
        <f>IF(E169&gt;=0,Components!K169-E169,E169)</f>
        <v>0</v>
      </c>
      <c r="I169" s="82"/>
      <c r="J169" s="211"/>
      <c r="K169" s="29">
        <f>IF($H169&gt;0,FV(EarningsRate,F169,-'FF Deposit'!L169,1),Components!$H169)</f>
        <v>57276.899999999994</v>
      </c>
      <c r="L169" s="29">
        <f>'FF Deposit'!L169+IF(Components!M169&gt;0,K169-Components!M169,K169*(1+EarningsRate))</f>
        <v>3901.0489728835946</v>
      </c>
      <c r="M169" s="29">
        <f>'FF Deposit'!M169+IF(Components!N169&gt;0,L169-Components!N169,L169*(1+EarningsRate))</f>
        <v>7884.1199741977507</v>
      </c>
      <c r="N169" s="29">
        <f>'FF Deposit'!N169+IF(Components!O169&gt;0,M169-Components!O169,M169*(1+EarningsRate))</f>
        <v>11950.835466539504</v>
      </c>
      <c r="O169" s="29">
        <f>'FF Deposit'!O169+IF(Components!P169&gt;0,N169-Components!P169,N169*(1+EarningsRate))</f>
        <v>16102.951984220432</v>
      </c>
      <c r="P169" s="29">
        <f>'FF Deposit'!P169+IF(Components!Q169&gt;0,O169-Components!Q169,O169*(1+EarningsRate))</f>
        <v>20342.262948772659</v>
      </c>
      <c r="Q169" s="29">
        <f>'FF Deposit'!Q169+IF(Components!R169&gt;0,P169-Components!R169,P169*(1+EarningsRate))</f>
        <v>24670.599443580482</v>
      </c>
      <c r="R169" s="29">
        <f>'FF Deposit'!R169+IF(Components!S169&gt;0,Q169-Components!S169,Q169*(1+EarningsRate))</f>
        <v>29089.831004779269</v>
      </c>
      <c r="S169" s="29">
        <f>'FF Deposit'!S169+IF(Components!T169&gt;0,R169-Components!T169,R169*(1+EarningsRate))</f>
        <v>33601.866428763235</v>
      </c>
      <c r="T169" s="29">
        <f>'FF Deposit'!T169+IF(Components!U169&gt;0,S169-Components!U169,S169*(1+EarningsRate))</f>
        <v>38208.654596650864</v>
      </c>
      <c r="U169" s="29">
        <f>'FF Deposit'!U169+IF(Components!V169&gt;0,T169-Components!V169,T169*(1+EarningsRate))</f>
        <v>42912.185316064133</v>
      </c>
      <c r="V169" s="29">
        <f>'FF Deposit'!V169+IF(Components!W169&gt;0,U169-Components!W169,U169*(1+EarningsRate))</f>
        <v>47714.490180585075</v>
      </c>
      <c r="W169" s="29">
        <f>'FF Deposit'!W169+IF(Components!X169&gt;0,V169-Components!X169,V169*(1+EarningsRate))</f>
        <v>52617.643447260962</v>
      </c>
      <c r="X169" s="29">
        <f>'FF Deposit'!X169+IF(Components!Y169&gt;0,W169-Components!Y169,W169*(1+EarningsRate))</f>
        <v>57623.762932537036</v>
      </c>
      <c r="Y169" s="29">
        <f>'FF Deposit'!Y169+IF(Components!Z169&gt;0,X169-Components!Z169,X169*(1+EarningsRate))</f>
        <v>62735.01092700391</v>
      </c>
      <c r="Z169" s="29">
        <f>'FF Deposit'!Z169+IF(Components!AA169&gt;0,Y169-Components!AA169,Y169*(1+EarningsRate))</f>
        <v>67953.59512935458</v>
      </c>
      <c r="AA169" s="29">
        <f>'FF Deposit'!AA169+IF(Components!AB169&gt;0,Z169-Components!AB169,Z169*(1+EarningsRate))</f>
        <v>73281.769599954627</v>
      </c>
      <c r="AB169" s="29">
        <f>'FF Deposit'!AB169+IF(Components!AC169&gt;0,AA169-Components!AC169,AA169*(1+EarningsRate))</f>
        <v>78721.835734437263</v>
      </c>
      <c r="AC169" s="29">
        <f>'FF Deposit'!AC169+IF(Components!AD169&gt;0,AB169-Components!AD169,AB169*(1+EarningsRate))</f>
        <v>84276.143257744043</v>
      </c>
      <c r="AD169" s="29">
        <f>'FF Deposit'!AD169+IF(Components!AE169&gt;0,AC169-Components!AE169,AC169*(1+EarningsRate))</f>
        <v>89947.091239040266</v>
      </c>
      <c r="AE169" s="29">
        <f>'FF Deposit'!AE169+IF(Components!AF169&gt;0,AD169-Components!AF169,AD169*(1+EarningsRate))</f>
        <v>95737.129127943699</v>
      </c>
      <c r="AF169" s="29">
        <f>'FF Deposit'!AF169+IF(Components!AG169&gt;0,AE169-Components!AG169,AE169*(1+EarningsRate))</f>
        <v>101648.75781251412</v>
      </c>
      <c r="AG169" s="29">
        <f>'FF Deposit'!AG169+IF(Components!AH169&gt;0,AF169-Components!AH169,AF169*(1+EarningsRate))</f>
        <v>107684.53069946051</v>
      </c>
      <c r="AH169" s="29">
        <f>'FF Deposit'!AH169+IF(Components!AI169&gt;0,AG169-Components!AI169,AG169*(1+EarningsRate))</f>
        <v>113847.05481703277</v>
      </c>
      <c r="AI169" s="29">
        <f>'FF Deposit'!AI169+IF(Components!AJ169&gt;0,AH169-Components!AJ169,AH169*(1+EarningsRate))</f>
        <v>120138.99194107404</v>
      </c>
      <c r="AJ169" s="29">
        <f>'FF Deposit'!AJ169+IF(Components!AK169&gt;0,AI169-Components!AK169,AI169*(1+EarningsRate))</f>
        <v>126563.05974472019</v>
      </c>
      <c r="AK169" s="29">
        <f>'FF Deposit'!AK169+IF(Components!AL169&gt;0,AJ169-Components!AL169,AJ169*(1+EarningsRate))</f>
        <v>133122.03297224289</v>
      </c>
      <c r="AL169" s="29">
        <f>'FF Deposit'!AL169+IF(Components!AM169&gt;0,AK169-Components!AM169,AK169*(1+EarningsRate))</f>
        <v>139818.74463754357</v>
      </c>
      <c r="AM169" s="29">
        <f>'FF Deposit'!AM169+IF(Components!AN169&gt;0,AL169-Components!AN169,AL169*(1+EarningsRate))</f>
        <v>146656.08724781557</v>
      </c>
      <c r="AN169" s="29">
        <f>'FF Deposit'!AN169+IF(Components!AO169&gt;0,AM169-Components!AO169,AM169*(1+EarningsRate))</f>
        <v>153637.01405290328</v>
      </c>
      <c r="AO169" s="29">
        <f>'FF Deposit'!AO169+IF(Components!AP169&gt;0,AN169-Components!AP169,AN169*(1+EarningsRate))</f>
        <v>160764.54032089782</v>
      </c>
      <c r="AP169" s="53"/>
    </row>
    <row r="170" spans="1:42" s="1" customFormat="1">
      <c r="A170" s="220" t="str">
        <f>Components!B170</f>
        <v>Asphalt R&amp;R</v>
      </c>
      <c r="B170" s="220" t="str">
        <f>Components!C170</f>
        <v>RV Lot</v>
      </c>
      <c r="C170" s="211"/>
      <c r="D170" s="211"/>
      <c r="E170" s="82">
        <f>AnalysisYear-Components!I170-Components!J170</f>
        <v>23</v>
      </c>
      <c r="F170" s="82">
        <f>IF(H170&lt;0,Components!K170-MOD(AnalysisYear-Components!I170-Components!J170,Components!K170),AnalysisYear-Components!I170-Components!J170)</f>
        <v>23</v>
      </c>
      <c r="G170" s="11">
        <f>ROUND(Components!H170*IF(H170&lt;0,((1+InflationRate)^F170),((1+InflationRate)^H170)),0)</f>
        <v>185038</v>
      </c>
      <c r="H170" s="82">
        <f>IF(E170&gt;=0,Components!K170-E170,E170)</f>
        <v>7</v>
      </c>
      <c r="I170" s="82"/>
      <c r="J170" s="211"/>
      <c r="K170" s="29">
        <f>IF($H170&gt;0,FV(EarningsRate,F170,-'FF Deposit'!L170,1),Components!$H170)</f>
        <v>131034.97380894914</v>
      </c>
      <c r="L170" s="29">
        <f>'FF Deposit'!L170+IF(Components!M170&gt;0,K170-Components!M170,K170*(1+EarningsRate))</f>
        <v>138276.87743327476</v>
      </c>
      <c r="M170" s="29">
        <f>'FF Deposit'!M170+IF(Components!N170&gt;0,L170-Components!N170,L170*(1+EarningsRate))</f>
        <v>145670.8610337112</v>
      </c>
      <c r="N170" s="29">
        <f>'FF Deposit'!N170+IF(Components!O170&gt;0,M170-Components!O170,M170*(1+EarningsRate))</f>
        <v>153220.11828975682</v>
      </c>
      <c r="O170" s="29">
        <f>'FF Deposit'!O170+IF(Components!P170&gt;0,N170-Components!P170,N170*(1+EarningsRate))</f>
        <v>160927.90994817941</v>
      </c>
      <c r="P170" s="29">
        <f>'FF Deposit'!P170+IF(Components!Q170&gt;0,O170-Components!Q170,O170*(1+EarningsRate))</f>
        <v>168797.56523142886</v>
      </c>
      <c r="Q170" s="29">
        <f>'FF Deposit'!Q170+IF(Components!R170&gt;0,P170-Components!R170,P170*(1+EarningsRate))</f>
        <v>176832.48327562655</v>
      </c>
      <c r="R170" s="29">
        <f>'FF Deposit'!R170+IF(Components!S170&gt;0,Q170-Components!S170,Q170*(1+EarningsRate))</f>
        <v>185036.1345987524</v>
      </c>
      <c r="S170" s="29">
        <f>'FF Deposit'!S170+IF(Components!T170&gt;0,R170-Components!T170,R170*(1+EarningsRate))</f>
        <v>12601.113170333238</v>
      </c>
      <c r="T170" s="29">
        <f>'FF Deposit'!T170+IF(Components!U170&gt;0,S170-Components!U170,S170*(1+EarningsRate))</f>
        <v>25468.715118491076</v>
      </c>
      <c r="U170" s="29">
        <f>'FF Deposit'!U170+IF(Components!V170&gt;0,T170-Components!V170,T170*(1+EarningsRate))</f>
        <v>38606.536707560226</v>
      </c>
      <c r="V170" s="29">
        <f>'FF Deposit'!V170+IF(Components!W170&gt;0,U170-Components!W170,U170*(1+EarningsRate))</f>
        <v>52020.25254999983</v>
      </c>
      <c r="W170" s="29">
        <f>'FF Deposit'!W170+IF(Components!X170&gt;0,V170-Components!X170,V170*(1+EarningsRate))</f>
        <v>65715.65642513067</v>
      </c>
      <c r="X170" s="29">
        <f>'FF Deposit'!X170+IF(Components!Y170&gt;0,W170-Components!Y170,W170*(1+EarningsRate))</f>
        <v>79698.663781639247</v>
      </c>
      <c r="Y170" s="29">
        <f>'FF Deposit'!Y170+IF(Components!Z170&gt;0,X170-Components!Z170,X170*(1+EarningsRate))</f>
        <v>93975.314292634503</v>
      </c>
      <c r="Z170" s="29">
        <f>'FF Deposit'!Z170+IF(Components!AA170&gt;0,Y170-Components!AA170,Y170*(1+EarningsRate))</f>
        <v>108551.77446436066</v>
      </c>
      <c r="AA170" s="29">
        <f>'FF Deposit'!AA170+IF(Components!AB170&gt;0,Z170-Components!AB170,Z170*(1+EarningsRate))</f>
        <v>123434.34029969305</v>
      </c>
      <c r="AB170" s="29">
        <f>'FF Deposit'!AB170+IF(Components!AC170&gt;0,AA170-Components!AC170,AA170*(1+EarningsRate))</f>
        <v>138629.44001756745</v>
      </c>
      <c r="AC170" s="29">
        <f>'FF Deposit'!AC170+IF(Components!AD170&gt;0,AB170-Components!AD170,AB170*(1+EarningsRate))</f>
        <v>154143.6368295172</v>
      </c>
      <c r="AD170" s="29">
        <f>'FF Deposit'!AD170+IF(Components!AE170&gt;0,AC170-Components!AE170,AC170*(1+EarningsRate))</f>
        <v>169983.63177451788</v>
      </c>
      <c r="AE170" s="29">
        <f>'FF Deposit'!AE170+IF(Components!AF170&gt;0,AD170-Components!AF170,AD170*(1+EarningsRate))</f>
        <v>186156.26661336358</v>
      </c>
      <c r="AF170" s="29">
        <f>'FF Deposit'!AF170+IF(Components!AG170&gt;0,AE170-Components!AG170,AE170*(1+EarningsRate))</f>
        <v>202668.52678382504</v>
      </c>
      <c r="AG170" s="29">
        <f>'FF Deposit'!AG170+IF(Components!AH170&gt;0,AF170-Components!AH170,AF170*(1+EarningsRate))</f>
        <v>219527.54441786619</v>
      </c>
      <c r="AH170" s="29">
        <f>'FF Deposit'!AH170+IF(Components!AI170&gt;0,AG170-Components!AI170,AG170*(1+EarningsRate))</f>
        <v>236740.60142222219</v>
      </c>
      <c r="AI170" s="29">
        <f>'FF Deposit'!AI170+IF(Components!AJ170&gt;0,AH170-Components!AJ170,AH170*(1+EarningsRate))</f>
        <v>254315.13262366966</v>
      </c>
      <c r="AJ170" s="29">
        <f>'FF Deposit'!AJ170+IF(Components!AK170&gt;0,AI170-Components!AK170,AI170*(1+EarningsRate))</f>
        <v>272258.72898034757</v>
      </c>
      <c r="AK170" s="29">
        <f>'FF Deposit'!AK170+IF(Components!AL170&gt;0,AJ170-Components!AL170,AJ170*(1+EarningsRate))</f>
        <v>290579.1408605157</v>
      </c>
      <c r="AL170" s="29">
        <f>'FF Deposit'!AL170+IF(Components!AM170&gt;0,AK170-Components!AM170,AK170*(1+EarningsRate))</f>
        <v>309284.28139016737</v>
      </c>
      <c r="AM170" s="29">
        <f>'FF Deposit'!AM170+IF(Components!AN170&gt;0,AL170-Components!AN170,AL170*(1+EarningsRate))</f>
        <v>328382.22987094166</v>
      </c>
      <c r="AN170" s="29">
        <f>'FF Deposit'!AN170+IF(Components!AO170&gt;0,AM170-Components!AO170,AM170*(1+EarningsRate))</f>
        <v>347881.23526981223</v>
      </c>
      <c r="AO170" s="29">
        <f>'FF Deposit'!AO170+IF(Components!AP170&gt;0,AN170-Components!AP170,AN170*(1+EarningsRate))</f>
        <v>367789.71978205908</v>
      </c>
      <c r="AP170" s="53"/>
    </row>
    <row r="171" spans="1:42" s="1" customFormat="1">
      <c r="A171" s="220" t="str">
        <f>Components!B171</f>
        <v>Exterior</v>
      </c>
      <c r="B171" s="220" t="str">
        <f>Components!C171</f>
        <v>Directional Signs</v>
      </c>
      <c r="C171" s="211"/>
      <c r="D171" s="211"/>
      <c r="E171" s="82">
        <f>AnalysisYear-Components!I171-Components!J171</f>
        <v>7</v>
      </c>
      <c r="F171" s="82">
        <f>IF(H171&lt;0,Components!K171-MOD(AnalysisYear-Components!I171-Components!J171,Components!K171),AnalysisYear-Components!I171-Components!J171)</f>
        <v>7</v>
      </c>
      <c r="G171" s="11">
        <f>ROUND(Components!H171*IF(H171&lt;0,((1+InflationRate)^F171),((1+InflationRate)^H171)),0)</f>
        <v>28341</v>
      </c>
      <c r="H171" s="82">
        <f>IF(E171&gt;=0,Components!K171-E171,E171)</f>
        <v>13</v>
      </c>
      <c r="I171" s="82"/>
      <c r="J171" s="211"/>
      <c r="K171" s="29">
        <f>IF($H171&gt;0,FV(EarningsRate,F171,-'FF Deposit'!L171,1),Components!$H171)</f>
        <v>8610.3073236948258</v>
      </c>
      <c r="L171" s="29">
        <f>'FF Deposit'!L171+IF(Components!M171&gt;0,K171-Components!M171,K171*(1+EarningsRate))</f>
        <v>9945.9765775048181</v>
      </c>
      <c r="M171" s="29">
        <f>'FF Deposit'!M171+IF(Components!N171&gt;0,L171-Components!N171,L171*(1+EarningsRate))</f>
        <v>11309.694885644822</v>
      </c>
      <c r="N171" s="29">
        <f>'FF Deposit'!N171+IF(Components!O171&gt;0,M171-Components!O171,M171*(1+EarningsRate))</f>
        <v>12702.051278255763</v>
      </c>
      <c r="O171" s="29">
        <f>'FF Deposit'!O171+IF(Components!P171&gt;0,N171-Components!P171,N171*(1+EarningsRate))</f>
        <v>14123.647155111536</v>
      </c>
      <c r="P171" s="29">
        <f>'FF Deposit'!P171+IF(Components!Q171&gt;0,O171-Components!Q171,O171*(1+EarningsRate))</f>
        <v>15575.096545381279</v>
      </c>
      <c r="Q171" s="29">
        <f>'FF Deposit'!Q171+IF(Components!R171&gt;0,P171-Components!R171,P171*(1+EarningsRate))</f>
        <v>17057.026372846689</v>
      </c>
      <c r="R171" s="29">
        <f>'FF Deposit'!R171+IF(Components!S171&gt;0,Q171-Components!S171,Q171*(1+EarningsRate))</f>
        <v>18570.076726688869</v>
      </c>
      <c r="S171" s="29">
        <f>'FF Deposit'!S171+IF(Components!T171&gt;0,R171-Components!T171,R171*(1+EarningsRate))</f>
        <v>20114.901137961737</v>
      </c>
      <c r="T171" s="29">
        <f>'FF Deposit'!T171+IF(Components!U171&gt;0,S171-Components!U171,S171*(1+EarningsRate))</f>
        <v>21692.166861871334</v>
      </c>
      <c r="U171" s="29">
        <f>'FF Deposit'!U171+IF(Components!V171&gt;0,T171-Components!V171,T171*(1+EarningsRate))</f>
        <v>23302.555165983031</v>
      </c>
      <c r="V171" s="29">
        <f>'FF Deposit'!V171+IF(Components!W171&gt;0,U171-Components!W171,U171*(1+EarningsRate))</f>
        <v>24946.761624481074</v>
      </c>
      <c r="W171" s="29">
        <f>'FF Deposit'!W171+IF(Components!X171&gt;0,V171-Components!X171,V171*(1+EarningsRate))</f>
        <v>26625.496418607578</v>
      </c>
      <c r="X171" s="29">
        <f>'FF Deposit'!X171+IF(Components!Y171&gt;0,W171-Components!Y171,W171*(1+EarningsRate))</f>
        <v>28339.484643410738</v>
      </c>
      <c r="Y171" s="29">
        <f>'FF Deposit'!Y171+IF(Components!Z171&gt;0,X171-Components!Z171,X171*(1+EarningsRate))</f>
        <v>2296.3978838177627</v>
      </c>
      <c r="Z171" s="29">
        <f>'FF Deposit'!Z171+IF(Components!AA171&gt;0,Y171-Components!AA171,Y171*(1+EarningsRate))</f>
        <v>4642.5354797849595</v>
      </c>
      <c r="AA171" s="29">
        <f>'FF Deposit'!AA171+IF(Components!AB171&gt;0,Z171-Components!AB171,Z171*(1+EarningsRate))</f>
        <v>7037.9419652674678</v>
      </c>
      <c r="AB171" s="29">
        <f>'FF Deposit'!AB171+IF(Components!AC171&gt;0,AA171-Components!AC171,AA171*(1+EarningsRate))</f>
        <v>9483.6519869451076</v>
      </c>
      <c r="AC171" s="29">
        <f>'FF Deposit'!AC171+IF(Components!AD171&gt;0,AB171-Components!AD171,AB171*(1+EarningsRate))</f>
        <v>11980.721919077978</v>
      </c>
      <c r="AD171" s="29">
        <f>'FF Deposit'!AD171+IF(Components!AE171&gt;0,AC171-Components!AE171,AC171*(1+EarningsRate))</f>
        <v>14530.230319785638</v>
      </c>
      <c r="AE171" s="29">
        <f>'FF Deposit'!AE171+IF(Components!AF171&gt;0,AD171-Components!AF171,AD171*(1+EarningsRate))</f>
        <v>17133.278396908157</v>
      </c>
      <c r="AF171" s="29">
        <f>'FF Deposit'!AF171+IF(Components!AG171&gt;0,AE171-Components!AG171,AE171*(1+EarningsRate))</f>
        <v>19790.990483650254</v>
      </c>
      <c r="AG171" s="29">
        <f>'FF Deposit'!AG171+IF(Components!AH171&gt;0,AF171-Components!AH171,AF171*(1+EarningsRate))</f>
        <v>22504.514524213933</v>
      </c>
      <c r="AH171" s="29">
        <f>'FF Deposit'!AH171+IF(Components!AI171&gt;0,AG171-Components!AI171,AG171*(1+EarningsRate))</f>
        <v>25275.022569629451</v>
      </c>
      <c r="AI171" s="29">
        <f>'FF Deposit'!AI171+IF(Components!AJ171&gt;0,AH171-Components!AJ171,AH171*(1+EarningsRate))</f>
        <v>28103.711283998695</v>
      </c>
      <c r="AJ171" s="29">
        <f>'FF Deposit'!AJ171+IF(Components!AK171&gt;0,AI171-Components!AK171,AI171*(1+EarningsRate))</f>
        <v>30991.802461369691</v>
      </c>
      <c r="AK171" s="29">
        <f>'FF Deposit'!AK171+IF(Components!AL171&gt;0,AJ171-Components!AL171,AJ171*(1+EarningsRate))</f>
        <v>33940.543553465475</v>
      </c>
      <c r="AL171" s="29">
        <f>'FF Deposit'!AL171+IF(Components!AM171&gt;0,AK171-Components!AM171,AK171*(1+EarningsRate))</f>
        <v>36951.208208495271</v>
      </c>
      <c r="AM171" s="29">
        <f>'FF Deposit'!AM171+IF(Components!AN171&gt;0,AL171-Components!AN171,AL171*(1+EarningsRate))</f>
        <v>40025.096821280691</v>
      </c>
      <c r="AN171" s="29">
        <f>'FF Deposit'!AN171+IF(Components!AO171&gt;0,AM171-Components!AO171,AM171*(1+EarningsRate))</f>
        <v>43163.537094934611</v>
      </c>
      <c r="AO171" s="29">
        <f>'FF Deposit'!AO171+IF(Components!AP171&gt;0,AN171-Components!AP171,AN171*(1+EarningsRate))</f>
        <v>46367.884614335257</v>
      </c>
      <c r="AP171" s="53"/>
    </row>
    <row r="172" spans="1:42" s="1" customFormat="1">
      <c r="A172" s="220" t="str">
        <f>Components!B172</f>
        <v>Exterior</v>
      </c>
      <c r="B172" s="220" t="str">
        <f>Components!C172</f>
        <v>Fence, Garden, (vinyl)</v>
      </c>
      <c r="C172" s="211"/>
      <c r="D172" s="211"/>
      <c r="E172" s="82">
        <f>AnalysisYear-Components!I172-Components!J172</f>
        <v>5</v>
      </c>
      <c r="F172" s="82">
        <f>IF(H172&lt;0,Components!K172-MOD(AnalysisYear-Components!I172-Components!J172,Components!K172),AnalysisYear-Components!I172-Components!J172)</f>
        <v>5</v>
      </c>
      <c r="G172" s="11">
        <f>ROUND(Components!H172*IF(H172&lt;0,((1+InflationRate)^F172),((1+InflationRate)^H172)),0)</f>
        <v>52022</v>
      </c>
      <c r="H172" s="82">
        <f>IF(E172&gt;=0,Components!K172-E172,E172)</f>
        <v>15</v>
      </c>
      <c r="I172" s="82"/>
      <c r="J172" s="211"/>
      <c r="K172" s="29">
        <f>IF($H172&gt;0,FV(EarningsRate,F172,-'FF Deposit'!L172,1),Components!$H172)</f>
        <v>11052.58748238851</v>
      </c>
      <c r="L172" s="29">
        <f>'FF Deposit'!L172+IF(Components!M172&gt;0,K172-Components!M172,K172*(1+EarningsRate))</f>
        <v>13404.509481642277</v>
      </c>
      <c r="M172" s="29">
        <f>'FF Deposit'!M172+IF(Components!N172&gt;0,L172-Components!N172,L172*(1+EarningsRate))</f>
        <v>15805.821842880372</v>
      </c>
      <c r="N172" s="29">
        <f>'FF Deposit'!N172+IF(Components!O172&gt;0,M172-Components!O172,M172*(1+EarningsRate))</f>
        <v>18257.561763704467</v>
      </c>
      <c r="O172" s="29">
        <f>'FF Deposit'!O172+IF(Components!P172&gt;0,N172-Components!P172,N172*(1+EarningsRate))</f>
        <v>20760.788222865867</v>
      </c>
      <c r="P172" s="29">
        <f>'FF Deposit'!P172+IF(Components!Q172&gt;0,O172-Components!Q172,O172*(1+EarningsRate))</f>
        <v>23316.582437669658</v>
      </c>
      <c r="Q172" s="29">
        <f>'FF Deposit'!Q172+IF(Components!R172&gt;0,P172-Components!R172,P172*(1+EarningsRate))</f>
        <v>25926.048330984329</v>
      </c>
      <c r="R172" s="29">
        <f>'FF Deposit'!R172+IF(Components!S172&gt;0,Q172-Components!S172,Q172*(1+EarningsRate))</f>
        <v>28590.313008058605</v>
      </c>
      <c r="S172" s="29">
        <f>'FF Deposit'!S172+IF(Components!T172&gt;0,R172-Components!T172,R172*(1+EarningsRate))</f>
        <v>31310.527243351444</v>
      </c>
      <c r="T172" s="29">
        <f>'FF Deposit'!T172+IF(Components!U172&gt;0,S172-Components!U172,S172*(1+EarningsRate))</f>
        <v>34087.865977585432</v>
      </c>
      <c r="U172" s="29">
        <f>'FF Deposit'!U172+IF(Components!V172&gt;0,T172-Components!V172,T172*(1+EarningsRate))</f>
        <v>36923.528825238333</v>
      </c>
      <c r="V172" s="29">
        <f>'FF Deposit'!V172+IF(Components!W172&gt;0,U172-Components!W172,U172*(1+EarningsRate))</f>
        <v>39818.740592691945</v>
      </c>
      <c r="W172" s="29">
        <f>'FF Deposit'!W172+IF(Components!X172&gt;0,V172-Components!X172,V172*(1+EarningsRate))</f>
        <v>42774.751807262088</v>
      </c>
      <c r="X172" s="29">
        <f>'FF Deposit'!X172+IF(Components!Y172&gt;0,W172-Components!Y172,W172*(1+EarningsRate))</f>
        <v>45792.839257338201</v>
      </c>
      <c r="Y172" s="29">
        <f>'FF Deposit'!Y172+IF(Components!Z172&gt;0,X172-Components!Z172,X172*(1+EarningsRate))</f>
        <v>48874.30654386591</v>
      </c>
      <c r="Z172" s="29">
        <f>'FF Deposit'!Z172+IF(Components!AA172&gt;0,Y172-Components!AA172,Y172*(1+EarningsRate))</f>
        <v>52020.484643410702</v>
      </c>
      <c r="AA172" s="29">
        <f>'FF Deposit'!AA172+IF(Components!AB172&gt;0,Z172-Components!AB172,Z172*(1+EarningsRate))</f>
        <v>4216.4742200824585</v>
      </c>
      <c r="AB172" s="29">
        <f>'FF Deposit'!AB172+IF(Components!AC172&gt;0,AA172-Components!AC172,AA172*(1+EarningsRate))</f>
        <v>8523.009755375946</v>
      </c>
      <c r="AC172" s="29">
        <f>'FF Deposit'!AC172+IF(Components!AD172&gt;0,AB172-Components!AD172,AB172*(1+EarningsRate))</f>
        <v>12919.982536910597</v>
      </c>
      <c r="AD172" s="29">
        <f>'FF Deposit'!AD172+IF(Components!AE172&gt;0,AC172-Components!AE172,AC172*(1+EarningsRate))</f>
        <v>17409.291746857474</v>
      </c>
      <c r="AE172" s="29">
        <f>'FF Deposit'!AE172+IF(Components!AF172&gt;0,AD172-Components!AF172,AD172*(1+EarningsRate))</f>
        <v>21992.876450213236</v>
      </c>
      <c r="AF172" s="29">
        <f>'FF Deposit'!AF172+IF(Components!AG172&gt;0,AE172-Components!AG172,AE172*(1+EarningsRate))</f>
        <v>26672.716432339468</v>
      </c>
      <c r="AG172" s="29">
        <f>'FF Deposit'!AG172+IF(Components!AH172&gt;0,AF172-Components!AH172,AF172*(1+EarningsRate))</f>
        <v>31450.833054090352</v>
      </c>
      <c r="AH172" s="29">
        <f>'FF Deposit'!AH172+IF(Components!AI172&gt;0,AG172-Components!AI172,AG172*(1+EarningsRate))</f>
        <v>36329.290124898005</v>
      </c>
      <c r="AI172" s="29">
        <f>'FF Deposit'!AI172+IF(Components!AJ172&gt;0,AH172-Components!AJ172,AH172*(1+EarningsRate))</f>
        <v>41310.194794192619</v>
      </c>
      <c r="AJ172" s="29">
        <f>'FF Deposit'!AJ172+IF(Components!AK172&gt;0,AI172-Components!AK172,AI172*(1+EarningsRate))</f>
        <v>46395.698461542415</v>
      </c>
      <c r="AK172" s="29">
        <f>'FF Deposit'!AK172+IF(Components!AL172&gt;0,AJ172-Components!AL172,AJ172*(1+EarningsRate))</f>
        <v>51587.997705906557</v>
      </c>
      <c r="AL172" s="29">
        <f>'FF Deposit'!AL172+IF(Components!AM172&gt;0,AK172-Components!AM172,AK172*(1+EarningsRate))</f>
        <v>56889.335234402344</v>
      </c>
      <c r="AM172" s="29">
        <f>'FF Deposit'!AM172+IF(Components!AN172&gt;0,AL172-Components!AN172,AL172*(1+EarningsRate))</f>
        <v>62302.000850996541</v>
      </c>
      <c r="AN172" s="29">
        <f>'FF Deposit'!AN172+IF(Components!AO172&gt;0,AM172-Components!AO172,AM172*(1+EarningsRate))</f>
        <v>67828.332445539214</v>
      </c>
      <c r="AO172" s="29">
        <f>'FF Deposit'!AO172+IF(Components!AP172&gt;0,AN172-Components!AP172,AN172*(1+EarningsRate))</f>
        <v>73470.71700356729</v>
      </c>
      <c r="AP172" s="53"/>
    </row>
    <row r="173" spans="1:42" s="1" customFormat="1">
      <c r="A173" s="220" t="str">
        <f>Components!B173</f>
        <v>Exterior</v>
      </c>
      <c r="B173" s="220" t="str">
        <f>Components!C173</f>
        <v>RV Lot Fence</v>
      </c>
      <c r="C173" s="211"/>
      <c r="D173" s="211"/>
      <c r="E173" s="82">
        <f>AnalysisYear-Components!I173-Components!J173</f>
        <v>18</v>
      </c>
      <c r="F173" s="82">
        <f>IF(H173&lt;0,Components!K173-MOD(AnalysisYear-Components!I173-Components!J173,Components!K173),AnalysisYear-Components!I173-Components!J173)</f>
        <v>18</v>
      </c>
      <c r="G173" s="11">
        <f>ROUND(Components!H173*IF(H173&lt;0,((1+InflationRate)^F173),((1+InflationRate)^H173)),0)</f>
        <v>40887</v>
      </c>
      <c r="H173" s="82">
        <f>IF(E173&gt;=0,Components!K173-E173,E173)</f>
        <v>7</v>
      </c>
      <c r="I173" s="82"/>
      <c r="J173" s="211"/>
      <c r="K173" s="29">
        <f>IF($H173&gt;0,FV(EarningsRate,F173,-'FF Deposit'!L173,1),Components!$H173)</f>
        <v>27224.500059173071</v>
      </c>
      <c r="L173" s="29">
        <f>'FF Deposit'!L173+IF(Components!M173&gt;0,K173-Components!M173,K173*(1+EarningsRate))</f>
        <v>29056.503864756083</v>
      </c>
      <c r="M173" s="29">
        <f>'FF Deposit'!M173+IF(Components!N173&gt;0,L173-Components!N173,L173*(1+EarningsRate))</f>
        <v>30926.979750256338</v>
      </c>
      <c r="N173" s="29">
        <f>'FF Deposit'!N173+IF(Components!O173&gt;0,M173-Components!O173,M173*(1+EarningsRate))</f>
        <v>32836.735629352101</v>
      </c>
      <c r="O173" s="29">
        <f>'FF Deposit'!O173+IF(Components!P173&gt;0,N173-Components!P173,N173*(1+EarningsRate))</f>
        <v>34786.596381908865</v>
      </c>
      <c r="P173" s="29">
        <f>'FF Deposit'!P173+IF(Components!Q173&gt;0,O173-Components!Q173,O173*(1+EarningsRate))</f>
        <v>36777.40421026932</v>
      </c>
      <c r="Q173" s="29">
        <f>'FF Deposit'!Q173+IF(Components!R173&gt;0,P173-Components!R173,P173*(1+EarningsRate))</f>
        <v>38810.019003025358</v>
      </c>
      <c r="R173" s="29">
        <f>'FF Deposit'!R173+IF(Components!S173&gt;0,Q173-Components!S173,Q173*(1+EarningsRate))</f>
        <v>40885.318706429272</v>
      </c>
      <c r="S173" s="29">
        <f>'FF Deposit'!S173+IF(Components!T173&gt;0,R173-Components!T173,R173*(1+EarningsRate))</f>
        <v>2976.6910836370685</v>
      </c>
      <c r="T173" s="29">
        <f>'FF Deposit'!T173+IF(Components!U173&gt;0,S173-Components!U173,S173*(1+EarningsRate))</f>
        <v>6017.5739736012429</v>
      </c>
      <c r="U173" s="29">
        <f>'FF Deposit'!U173+IF(Components!V173&gt;0,T173-Components!V173,T173*(1+EarningsRate))</f>
        <v>9122.3154042546648</v>
      </c>
      <c r="V173" s="29">
        <f>'FF Deposit'!V173+IF(Components!W173&gt;0,U173-Components!W173,U173*(1+EarningsRate))</f>
        <v>12292.256404951808</v>
      </c>
      <c r="W173" s="29">
        <f>'FF Deposit'!W173+IF(Components!X173&gt;0,V173-Components!X173,V173*(1+EarningsRate))</f>
        <v>15528.76616666359</v>
      </c>
      <c r="X173" s="29">
        <f>'FF Deposit'!X173+IF(Components!Y173&gt;0,W173-Components!Y173,W173*(1+EarningsRate))</f>
        <v>18833.242633371319</v>
      </c>
      <c r="Y173" s="29">
        <f>'FF Deposit'!Y173+IF(Components!Z173&gt;0,X173-Components!Z173,X173*(1+EarningsRate))</f>
        <v>22207.113105879911</v>
      </c>
      <c r="Z173" s="29">
        <f>'FF Deposit'!Z173+IF(Components!AA173&gt;0,Y173-Components!AA173,Y173*(1+EarningsRate))</f>
        <v>25651.834858311184</v>
      </c>
      <c r="AA173" s="29">
        <f>'FF Deposit'!AA173+IF(Components!AB173&gt;0,Z173-Components!AB173,Z173*(1+EarningsRate))</f>
        <v>29168.895767543512</v>
      </c>
      <c r="AB173" s="29">
        <f>'FF Deposit'!AB173+IF(Components!AC173&gt;0,AA173-Components!AC173,AA173*(1+EarningsRate))</f>
        <v>32759.814955869722</v>
      </c>
      <c r="AC173" s="29">
        <f>'FF Deposit'!AC173+IF(Components!AD173&gt;0,AB173-Components!AD173,AB173*(1+EarningsRate))</f>
        <v>36426.143447150775</v>
      </c>
      <c r="AD173" s="29">
        <f>'FF Deposit'!AD173+IF(Components!AE173&gt;0,AC173-Components!AE173,AC173*(1+EarningsRate))</f>
        <v>40169.464836748732</v>
      </c>
      <c r="AE173" s="29">
        <f>'FF Deposit'!AE173+IF(Components!AF173&gt;0,AD173-Components!AF173,AD173*(1+EarningsRate))</f>
        <v>43991.395975528249</v>
      </c>
      <c r="AF173" s="29">
        <f>'FF Deposit'!AF173+IF(Components!AG173&gt;0,AE173-Components!AG173,AE173*(1+EarningsRate))</f>
        <v>47893.587668222128</v>
      </c>
      <c r="AG173" s="29">
        <f>'FF Deposit'!AG173+IF(Components!AH173&gt;0,AF173-Components!AH173,AF173*(1+EarningsRate))</f>
        <v>51877.725386462582</v>
      </c>
      <c r="AH173" s="29">
        <f>'FF Deposit'!AH173+IF(Components!AI173&gt;0,AG173-Components!AI173,AG173*(1+EarningsRate))</f>
        <v>55945.529996786085</v>
      </c>
      <c r="AI173" s="29">
        <f>'FF Deposit'!AI173+IF(Components!AJ173&gt;0,AH173-Components!AJ173,AH173*(1+EarningsRate))</f>
        <v>60098.758503926379</v>
      </c>
      <c r="AJ173" s="29">
        <f>'FF Deposit'!AJ173+IF(Components!AK173&gt;0,AI173-Components!AK173,AI173*(1+EarningsRate))</f>
        <v>64339.204809716619</v>
      </c>
      <c r="AK173" s="29">
        <f>'FF Deposit'!AK173+IF(Components!AL173&gt;0,AJ173-Components!AL173,AJ173*(1+EarningsRate))</f>
        <v>68668.70048792845</v>
      </c>
      <c r="AL173" s="29">
        <f>'FF Deposit'!AL173+IF(Components!AM173&gt;0,AK173-Components!AM173,AK173*(1+EarningsRate))</f>
        <v>73089.115575382733</v>
      </c>
      <c r="AM173" s="29">
        <f>'FF Deposit'!AM173+IF(Components!AN173&gt;0,AL173-Components!AN173,AL173*(1+EarningsRate))</f>
        <v>77602.359379673551</v>
      </c>
      <c r="AN173" s="29">
        <f>'FF Deposit'!AN173+IF(Components!AO173&gt;0,AM173-Components!AO173,AM173*(1+EarningsRate))</f>
        <v>82210.381303854476</v>
      </c>
      <c r="AO173" s="29">
        <f>'FF Deposit'!AO173+IF(Components!AP173&gt;0,AN173-Components!AP173,AN173*(1+EarningsRate))</f>
        <v>86915.17168844321</v>
      </c>
      <c r="AP173" s="53"/>
    </row>
    <row r="174" spans="1:42" s="1" customFormat="1">
      <c r="A174" s="220" t="str">
        <f>Components!B174</f>
        <v>Exterior</v>
      </c>
      <c r="B174" s="220" t="str">
        <f>Components!C174</f>
        <v>Tennis Court resurface</v>
      </c>
      <c r="C174" s="211"/>
      <c r="D174" s="211"/>
      <c r="E174" s="82">
        <f>AnalysisYear-Components!I174-Components!J174</f>
        <v>3</v>
      </c>
      <c r="F174" s="82">
        <f>IF(H174&lt;0,Components!K174-MOD(AnalysisYear-Components!I174-Components!J174,Components!K174),AnalysisYear-Components!I174-Components!J174)</f>
        <v>3</v>
      </c>
      <c r="G174" s="11">
        <f>ROUND(Components!H174*IF(H174&lt;0,((1+InflationRate)^F174),((1+InflationRate)^H174)),0)</f>
        <v>17210</v>
      </c>
      <c r="H174" s="82">
        <f>IF(E174&gt;=0,Components!K174-E174,E174)</f>
        <v>5</v>
      </c>
      <c r="I174" s="82"/>
      <c r="J174" s="211"/>
      <c r="K174" s="29">
        <f>IF($H174&gt;0,FV(EarningsRate,F174,-'FF Deposit'!L174,1),Components!$H174)</f>
        <v>6119.8743636072941</v>
      </c>
      <c r="L174" s="29">
        <f>'FF Deposit'!L174+IF(Components!M174&gt;0,K174-Components!M174,K174*(1+EarningsRate))</f>
        <v>8246.451650623796</v>
      </c>
      <c r="M174" s="29">
        <f>'FF Deposit'!M174+IF(Components!N174&gt;0,L174-Components!N174,L174*(1+EarningsRate))</f>
        <v>10417.687060667644</v>
      </c>
      <c r="N174" s="29">
        <f>'FF Deposit'!N174+IF(Components!O174&gt;0,M174-Components!O174,M174*(1+EarningsRate))</f>
        <v>12634.518414322412</v>
      </c>
      <c r="O174" s="29">
        <f>'FF Deposit'!O174+IF(Components!P174&gt;0,N174-Components!P174,N174*(1+EarningsRate))</f>
        <v>14897.903226403931</v>
      </c>
      <c r="P174" s="29">
        <f>'FF Deposit'!P174+IF(Components!Q174&gt;0,O174-Components!Q174,O174*(1+EarningsRate))</f>
        <v>17208.819119539163</v>
      </c>
      <c r="Q174" s="29">
        <f>'FF Deposit'!Q174+IF(Components!R174&gt;0,P174-Components!R174,P174*(1+EarningsRate))</f>
        <v>2629.8824856749552</v>
      </c>
      <c r="R174" s="29">
        <f>'FF Deposit'!R174+IF(Components!S174&gt;0,Q174-Components!S174,Q174*(1+EarningsRate))</f>
        <v>5316.1733840099214</v>
      </c>
      <c r="S174" s="29">
        <f>'FF Deposit'!S174+IF(Components!T174&gt;0,R174-Components!T174,R174*(1+EarningsRate))</f>
        <v>8058.8763912099221</v>
      </c>
      <c r="T174" s="29">
        <f>'FF Deposit'!T174+IF(Components!U174&gt;0,S174-Components!U174,S174*(1+EarningsRate))</f>
        <v>10859.176161561121</v>
      </c>
      <c r="U174" s="29">
        <f>'FF Deposit'!U174+IF(Components!V174&gt;0,T174-Components!V174,T174*(1+EarningsRate))</f>
        <v>13718.282227089698</v>
      </c>
      <c r="V174" s="29">
        <f>'FF Deposit'!V174+IF(Components!W174&gt;0,U174-Components!W174,U174*(1+EarningsRate))</f>
        <v>16637.429519994374</v>
      </c>
      <c r="W174" s="29">
        <f>'FF Deposit'!W174+IF(Components!X174&gt;0,V174-Components!X174,V174*(1+EarningsRate))</f>
        <v>19617.878906050046</v>
      </c>
      <c r="X174" s="29">
        <f>'FF Deposit'!X174+IF(Components!Y174&gt;0,W174-Components!Y174,W174*(1+EarningsRate))</f>
        <v>22660.917729212888</v>
      </c>
      <c r="Y174" s="29">
        <f>'FF Deposit'!Y174+IF(Components!Z174&gt;0,X174-Components!Z174,X174*(1+EarningsRate))</f>
        <v>3463.4824011111637</v>
      </c>
      <c r="Z174" s="29">
        <f>'FF Deposit'!Z174+IF(Components!AA174&gt;0,Y174-Components!AA174,Y174*(1+EarningsRate))</f>
        <v>7000.7802034327733</v>
      </c>
      <c r="AA174" s="29">
        <f>'FF Deposit'!AA174+IF(Components!AB174&gt;0,Z174-Components!AB174,Z174*(1+EarningsRate))</f>
        <v>10612.361259603136</v>
      </c>
      <c r="AB174" s="29">
        <f>'FF Deposit'!AB174+IF(Components!AC174&gt;0,AA174-Components!AC174,AA174*(1+EarningsRate))</f>
        <v>14299.785517953076</v>
      </c>
      <c r="AC174" s="29">
        <f>'FF Deposit'!AC174+IF(Components!AD174&gt;0,AB174-Components!AD174,AB174*(1+EarningsRate))</f>
        <v>18064.645685728367</v>
      </c>
      <c r="AD174" s="29">
        <f>'FF Deposit'!AD174+IF(Components!AE174&gt;0,AC174-Components!AE174,AC174*(1+EarningsRate))</f>
        <v>21908.567917026936</v>
      </c>
      <c r="AE174" s="29">
        <f>'FF Deposit'!AE174+IF(Components!AF174&gt;0,AD174-Components!AF174,AD174*(1+EarningsRate))</f>
        <v>25833.212515182775</v>
      </c>
      <c r="AF174" s="29">
        <f>'FF Deposit'!AF174+IF(Components!AG174&gt;0,AE174-Components!AG174,AE174*(1+EarningsRate))</f>
        <v>29840.274649899886</v>
      </c>
      <c r="AG174" s="29">
        <f>'FF Deposit'!AG174+IF(Components!AH174&gt;0,AF174-Components!AH174,AF174*(1+EarningsRate))</f>
        <v>4561.3642436743303</v>
      </c>
      <c r="AH174" s="29">
        <f>'FF Deposit'!AH174+IF(Components!AI174&gt;0,AG174-Components!AI174,AG174*(1+EarningsRate))</f>
        <v>9219.2424865659341</v>
      </c>
      <c r="AI174" s="29">
        <f>'FF Deposit'!AI174+IF(Components!AJ174&gt;0,AH174-Components!AJ174,AH174*(1+EarningsRate))</f>
        <v>13974.936172558262</v>
      </c>
      <c r="AJ174" s="29">
        <f>'FF Deposit'!AJ174+IF(Components!AK174&gt;0,AI174-Components!AK174,AI174*(1+EarningsRate))</f>
        <v>18830.499425956426</v>
      </c>
      <c r="AK174" s="29">
        <f>'FF Deposit'!AK174+IF(Components!AL174&gt;0,AJ174-Components!AL174,AJ174*(1+EarningsRate))</f>
        <v>23788.029507675958</v>
      </c>
      <c r="AL174" s="29">
        <f>'FF Deposit'!AL174+IF(Components!AM174&gt;0,AK174-Components!AM174,AK174*(1+EarningsRate))</f>
        <v>28849.667721111597</v>
      </c>
      <c r="AM174" s="29">
        <f>'FF Deposit'!AM174+IF(Components!AN174&gt;0,AL174-Components!AN174,AL174*(1+EarningsRate))</f>
        <v>34017.600337029384</v>
      </c>
      <c r="AN174" s="29">
        <f>'FF Deposit'!AN174+IF(Components!AO174&gt;0,AM174-Components!AO174,AM174*(1+EarningsRate))</f>
        <v>39294.05953788144</v>
      </c>
      <c r="AO174" s="29">
        <f>'FF Deposit'!AO174+IF(Components!AP174&gt;0,AN174-Components!AP174,AN174*(1+EarningsRate))</f>
        <v>6006.4758639887004</v>
      </c>
      <c r="AP174" s="53"/>
    </row>
    <row r="175" spans="1:42" s="1" customFormat="1">
      <c r="A175" s="220" t="str">
        <f>Components!B175</f>
        <v>Maintenance Bldg</v>
      </c>
      <c r="B175" s="220" t="str">
        <f>Components!C175</f>
        <v>Fence, Shop, (vinyl)</v>
      </c>
      <c r="C175" s="211"/>
      <c r="D175" s="211"/>
      <c r="E175" s="82">
        <f>AnalysisYear-Components!I175-Components!J175</f>
        <v>10</v>
      </c>
      <c r="F175" s="82">
        <f>IF(H175&lt;0,Components!K175-MOD(AnalysisYear-Components!I175-Components!J175,Components!K175),AnalysisYear-Components!I175-Components!J175)</f>
        <v>10</v>
      </c>
      <c r="G175" s="11">
        <f>ROUND(Components!H175*IF(H175&lt;0,((1+InflationRate)^F175),((1+InflationRate)^H175)),0)</f>
        <v>61316</v>
      </c>
      <c r="H175" s="82">
        <f>IF(E175&gt;=0,Components!K175-E175,E175)</f>
        <v>10</v>
      </c>
      <c r="I175" s="82"/>
      <c r="J175" s="211"/>
      <c r="K175" s="29">
        <f>IF($H175&gt;0,FV(EarningsRate,F175,-'FF Deposit'!L175,1),Components!$H175)</f>
        <v>27482.430695580664</v>
      </c>
      <c r="L175" s="29">
        <f>'FF Deposit'!L175+IF(Components!M175&gt;0,K175-Components!M175,K175*(1+EarningsRate))</f>
        <v>30558.095817516125</v>
      </c>
      <c r="M175" s="29">
        <f>'FF Deposit'!M175+IF(Components!N175&gt;0,L175-Components!N175,L175*(1+EarningsRate))</f>
        <v>33698.349907012227</v>
      </c>
      <c r="N175" s="29">
        <f>'FF Deposit'!N175+IF(Components!O175&gt;0,M175-Components!O175,M175*(1+EarningsRate))</f>
        <v>36904.549332387745</v>
      </c>
      <c r="O175" s="29">
        <f>'FF Deposit'!O175+IF(Components!P175&gt;0,N175-Components!P175,N175*(1+EarningsRate))</f>
        <v>40178.07894569615</v>
      </c>
      <c r="P175" s="29">
        <f>'FF Deposit'!P175+IF(Components!Q175&gt;0,O175-Components!Q175,O175*(1+EarningsRate))</f>
        <v>43520.352680884032</v>
      </c>
      <c r="Q175" s="29">
        <f>'FF Deposit'!Q175+IF(Components!R175&gt;0,P175-Components!R175,P175*(1+EarningsRate))</f>
        <v>46932.814164510863</v>
      </c>
      <c r="R175" s="29">
        <f>'FF Deposit'!R175+IF(Components!S175&gt;0,Q175-Components!S175,Q175*(1+EarningsRate))</f>
        <v>50416.937339293851</v>
      </c>
      <c r="S175" s="29">
        <f>'FF Deposit'!S175+IF(Components!T175&gt;0,R175-Components!T175,R175*(1+EarningsRate))</f>
        <v>53974.227100747281</v>
      </c>
      <c r="T175" s="29">
        <f>'FF Deposit'!T175+IF(Components!U175&gt;0,S175-Components!U175,S175*(1+EarningsRate))</f>
        <v>57606.219947191232</v>
      </c>
      <c r="U175" s="29">
        <f>'FF Deposit'!U175+IF(Components!V175&gt;0,T175-Components!V175,T175*(1+EarningsRate))</f>
        <v>61314.484643410506</v>
      </c>
      <c r="V175" s="29">
        <f>'FF Deposit'!V175+IF(Components!W175&gt;0,U175-Components!W175,U175*(1+EarningsRate))</f>
        <v>4970.0399254681988</v>
      </c>
      <c r="W175" s="29">
        <f>'FF Deposit'!W175+IF(Components!X175&gt;0,V175-Components!X175,V175*(1+EarningsRate))</f>
        <v>10045.966045960724</v>
      </c>
      <c r="X175" s="29">
        <f>'FF Deposit'!X175+IF(Components!Y175&gt;0,W175-Components!Y175,W175*(1+EarningsRate))</f>
        <v>15228.486614983591</v>
      </c>
      <c r="Y175" s="29">
        <f>'FF Deposit'!Y175+IF(Components!Z175&gt;0,X175-Components!Z175,X175*(1+EarningsRate))</f>
        <v>20519.840115955936</v>
      </c>
      <c r="Z175" s="29">
        <f>'FF Deposit'!Z175+IF(Components!AA175&gt;0,Y175-Components!AA175,Y175*(1+EarningsRate))</f>
        <v>25922.312040448702</v>
      </c>
      <c r="AA175" s="29">
        <f>'FF Deposit'!AA175+IF(Components!AB175&gt;0,Z175-Components!AB175,Z175*(1+EarningsRate))</f>
        <v>31438.235875355815</v>
      </c>
      <c r="AB175" s="29">
        <f>'FF Deposit'!AB175+IF(Components!AC175&gt;0,AA175-Components!AC175,AA175*(1+EarningsRate))</f>
        <v>37069.994110795975</v>
      </c>
      <c r="AC175" s="29">
        <f>'FF Deposit'!AC175+IF(Components!AD175&gt;0,AB175-Components!AD175,AB175*(1+EarningsRate))</f>
        <v>42820.019269180382</v>
      </c>
      <c r="AD175" s="29">
        <f>'FF Deposit'!AD175+IF(Components!AE175&gt;0,AC175-Components!AE175,AC175*(1+EarningsRate))</f>
        <v>48690.794955890859</v>
      </c>
      <c r="AE175" s="29">
        <f>'FF Deposit'!AE175+IF(Components!AF175&gt;0,AD175-Components!AF175,AD175*(1+EarningsRate))</f>
        <v>54684.856932022252</v>
      </c>
      <c r="AF175" s="29">
        <f>'FF Deposit'!AF175+IF(Components!AG175&gt;0,AE175-Components!AG175,AE175*(1+EarningsRate))</f>
        <v>60804.794209652406</v>
      </c>
      <c r="AG175" s="29">
        <f>'FF Deposit'!AG175+IF(Components!AH175&gt;0,AF175-Components!AH175,AF175*(1+EarningsRate))</f>
        <v>67053.250170112791</v>
      </c>
      <c r="AH175" s="29">
        <f>'FF Deposit'!AH175+IF(Components!AI175&gt;0,AG175-Components!AI175,AG175*(1+EarningsRate))</f>
        <v>73432.923705742855</v>
      </c>
      <c r="AI175" s="29">
        <f>'FF Deposit'!AI175+IF(Components!AJ175&gt;0,AH175-Components!AJ175,AH175*(1+EarningsRate))</f>
        <v>79946.570385621148</v>
      </c>
      <c r="AJ175" s="29">
        <f>'FF Deposit'!AJ175+IF(Components!AK175&gt;0,AI175-Components!AK175,AI175*(1+EarningsRate))</f>
        <v>86597.003645776887</v>
      </c>
      <c r="AK175" s="29">
        <f>'FF Deposit'!AK175+IF(Components!AL175&gt;0,AJ175-Components!AL175,AJ175*(1+EarningsRate))</f>
        <v>93387.096004395891</v>
      </c>
      <c r="AL175" s="29">
        <f>'FF Deposit'!AL175+IF(Components!AM175&gt;0,AK175-Components!AM175,AK175*(1+EarningsRate))</f>
        <v>100319.7803025459</v>
      </c>
      <c r="AM175" s="29">
        <f>'FF Deposit'!AM175+IF(Components!AN175&gt;0,AL175-Components!AN175,AL175*(1+EarningsRate))</f>
        <v>107398.05097095705</v>
      </c>
      <c r="AN175" s="29">
        <f>'FF Deposit'!AN175+IF(Components!AO175&gt;0,AM175-Components!AO175,AM175*(1+EarningsRate))</f>
        <v>114624.96532340483</v>
      </c>
      <c r="AO175" s="29">
        <f>'FF Deposit'!AO175+IF(Components!AP175&gt;0,AN175-Components!AP175,AN175*(1+EarningsRate))</f>
        <v>122003.64487725402</v>
      </c>
      <c r="AP175" s="53"/>
    </row>
    <row r="176" spans="1:42" s="1" customFormat="1">
      <c r="A176" s="220" t="str">
        <f>Components!B176</f>
        <v>Maintenance Bldg</v>
      </c>
      <c r="B176" s="220" t="str">
        <f>Components!C176</f>
        <v>Fire alarm system - Shop</v>
      </c>
      <c r="C176" s="211"/>
      <c r="D176" s="211"/>
      <c r="E176" s="82">
        <f>AnalysisYear-Components!I176-Components!J176</f>
        <v>2</v>
      </c>
      <c r="F176" s="82">
        <f>IF(H176&lt;0,Components!K176-MOD(AnalysisYear-Components!I176-Components!J176,Components!K176),AnalysisYear-Components!I176-Components!J176)</f>
        <v>2</v>
      </c>
      <c r="G176" s="11">
        <f>ROUND(Components!H176*IF(H176&lt;0,((1+InflationRate)^F176),((1+InflationRate)^H176)),0)</f>
        <v>25899</v>
      </c>
      <c r="H176" s="82">
        <f>IF(E176&gt;=0,Components!K176-E176,E176)</f>
        <v>13</v>
      </c>
      <c r="I176" s="82"/>
      <c r="J176" s="211"/>
      <c r="K176" s="29">
        <f>IF($H176&gt;0,FV(EarningsRate,F176,-'FF Deposit'!L176,1),Components!$H176)</f>
        <v>3003.847368660573</v>
      </c>
      <c r="L176" s="29">
        <f>'FF Deposit'!L176+IF(Components!M176&gt;0,K176-Components!M176,K176*(1+EarningsRate))</f>
        <v>4553.7613200875476</v>
      </c>
      <c r="M176" s="29">
        <f>'FF Deposit'!M176+IF(Components!N176&gt;0,L176-Components!N176,L176*(1+EarningsRate))</f>
        <v>6136.2234644944874</v>
      </c>
      <c r="N176" s="29">
        <f>'FF Deposit'!N176+IF(Components!O176&gt;0,M176-Components!O176,M176*(1+EarningsRate))</f>
        <v>7751.9173139339728</v>
      </c>
      <c r="O176" s="29">
        <f>'FF Deposit'!O176+IF(Components!P176&gt;0,N176-Components!P176,N176*(1+EarningsRate))</f>
        <v>9401.5407342116887</v>
      </c>
      <c r="P176" s="29">
        <f>'FF Deposit'!P176+IF(Components!Q176&gt;0,O176-Components!Q176,O176*(1+EarningsRate))</f>
        <v>11085.806246315236</v>
      </c>
      <c r="Q176" s="29">
        <f>'FF Deposit'!Q176+IF(Components!R176&gt;0,P176-Components!R176,P176*(1+EarningsRate))</f>
        <v>12805.441334172958</v>
      </c>
      <c r="R176" s="29">
        <f>'FF Deposit'!R176+IF(Components!S176&gt;0,Q176-Components!S176,Q176*(1+EarningsRate))</f>
        <v>14561.188758875691</v>
      </c>
      <c r="S176" s="29">
        <f>'FF Deposit'!S176+IF(Components!T176&gt;0,R176-Components!T176,R176*(1+EarningsRate))</f>
        <v>16353.806879497182</v>
      </c>
      <c r="T176" s="29">
        <f>'FF Deposit'!T176+IF(Components!U176&gt;0,S176-Components!U176,S176*(1+EarningsRate))</f>
        <v>18184.069980651722</v>
      </c>
      <c r="U176" s="29">
        <f>'FF Deposit'!U176+IF(Components!V176&gt;0,T176-Components!V176,T176*(1+EarningsRate))</f>
        <v>20052.768606930509</v>
      </c>
      <c r="V176" s="29">
        <f>'FF Deposit'!V176+IF(Components!W176&gt;0,U176-Components!W176,U176*(1+EarningsRate))</f>
        <v>21960.709904361149</v>
      </c>
      <c r="W176" s="29">
        <f>'FF Deposit'!W176+IF(Components!X176&gt;0,V176-Components!X176,V176*(1+EarningsRate))</f>
        <v>23908.717969037833</v>
      </c>
      <c r="X176" s="29">
        <f>'FF Deposit'!X176+IF(Components!Y176&gt;0,W176-Components!Y176,W176*(1+EarningsRate))</f>
        <v>25897.634203072725</v>
      </c>
      <c r="Y176" s="29">
        <f>'FF Deposit'!Y176+IF(Components!Z176&gt;0,X176-Components!Z176,X176*(1+EarningsRate))</f>
        <v>2489.5983936486527</v>
      </c>
      <c r="Z176" s="29">
        <f>'FF Deposit'!Z176+IF(Components!AA176&gt;0,Y176-Components!AA176,Y176*(1+EarningsRate))</f>
        <v>5032.8441504912025</v>
      </c>
      <c r="AA176" s="29">
        <f>'FF Deposit'!AA176+IF(Components!AB176&gt;0,Z176-Components!AB176,Z176*(1+EarningsRate))</f>
        <v>7629.4980682274454</v>
      </c>
      <c r="AB176" s="29">
        <f>'FF Deposit'!AB176+IF(Components!AC176&gt;0,AA176-Components!AC176,AA176*(1+EarningsRate))</f>
        <v>10280.681718236148</v>
      </c>
      <c r="AC176" s="29">
        <f>'FF Deposit'!AC176+IF(Components!AD176&gt;0,AB176-Components!AD176,AB176*(1+EarningsRate))</f>
        <v>12987.540224895034</v>
      </c>
      <c r="AD176" s="29">
        <f>'FF Deposit'!AD176+IF(Components!AE176&gt;0,AC176-Components!AE176,AC176*(1+EarningsRate))</f>
        <v>15751.242760193756</v>
      </c>
      <c r="AE176" s="29">
        <f>'FF Deposit'!AE176+IF(Components!AF176&gt;0,AD176-Components!AF176,AD176*(1+EarningsRate))</f>
        <v>18572.983048733753</v>
      </c>
      <c r="AF176" s="29">
        <f>'FF Deposit'!AF176+IF(Components!AG176&gt;0,AE176-Components!AG176,AE176*(1+EarningsRate))</f>
        <v>21453.979883333086</v>
      </c>
      <c r="AG176" s="29">
        <f>'FF Deposit'!AG176+IF(Components!AH176&gt;0,AF176-Components!AH176,AF176*(1+EarningsRate))</f>
        <v>24395.477651459005</v>
      </c>
      <c r="AH176" s="29">
        <f>'FF Deposit'!AH176+IF(Components!AI176&gt;0,AG176-Components!AI176,AG176*(1+EarningsRate))</f>
        <v>27398.746872715568</v>
      </c>
      <c r="AI176" s="29">
        <f>'FF Deposit'!AI176+IF(Components!AJ176&gt;0,AH176-Components!AJ176,AH176*(1+EarningsRate))</f>
        <v>30465.084747618519</v>
      </c>
      <c r="AJ176" s="29">
        <f>'FF Deposit'!AJ176+IF(Components!AK176&gt;0,AI176-Components!AK176,AI176*(1+EarningsRate))</f>
        <v>33595.815717894431</v>
      </c>
      <c r="AK176" s="29">
        <f>'FF Deposit'!AK176+IF(Components!AL176&gt;0,AJ176-Components!AL176,AJ176*(1+EarningsRate))</f>
        <v>36792.29203854614</v>
      </c>
      <c r="AL176" s="29">
        <f>'FF Deposit'!AL176+IF(Components!AM176&gt;0,AK176-Components!AM176,AK176*(1+EarningsRate))</f>
        <v>40055.894361931532</v>
      </c>
      <c r="AM176" s="29">
        <f>'FF Deposit'!AM176+IF(Components!AN176&gt;0,AL176-Components!AN176,AL176*(1+EarningsRate))</f>
        <v>43388.032334108015</v>
      </c>
      <c r="AN176" s="29">
        <f>'FF Deposit'!AN176+IF(Components!AO176&gt;0,AM176-Components!AO176,AM176*(1+EarningsRate))</f>
        <v>4171.2798042454542</v>
      </c>
      <c r="AO176" s="29">
        <f>'FF Deposit'!AO176+IF(Components!AP176&gt;0,AN176-Components!AP176,AN176*(1+EarningsRate))</f>
        <v>8432.1241502720477</v>
      </c>
      <c r="AP176" s="53"/>
    </row>
    <row r="177" spans="1:42" s="1" customFormat="1">
      <c r="A177" s="220" t="str">
        <f>Components!B177</f>
        <v>Maintenance Bldg</v>
      </c>
      <c r="B177" s="220" t="str">
        <f>Components!C177</f>
        <v xml:space="preserve">Furnace &amp; AC Unit </v>
      </c>
      <c r="C177" s="211"/>
      <c r="D177" s="211"/>
      <c r="E177" s="82">
        <f>AnalysisYear-Components!I177-Components!J177</f>
        <v>1</v>
      </c>
      <c r="F177" s="82">
        <f>IF(H177&lt;0,Components!K177-MOD(AnalysisYear-Components!I177-Components!J177,Components!K177),AnalysisYear-Components!I177-Components!J177)</f>
        <v>1</v>
      </c>
      <c r="G177" s="11">
        <f>ROUND(Components!H177*IF(H177&lt;0,((1+InflationRate)^F177),((1+InflationRate)^H177)),0)</f>
        <v>45336</v>
      </c>
      <c r="H177" s="82">
        <f>IF(E177&gt;=0,Components!K177-E177,E177)</f>
        <v>29</v>
      </c>
      <c r="I177" s="82"/>
      <c r="J177" s="211"/>
      <c r="K177" s="29">
        <f>IF($H177&gt;0,FV(EarningsRate,F177,-'FF Deposit'!L177,1),Components!$H177)</f>
        <v>1099.1114575912675</v>
      </c>
      <c r="L177" s="29">
        <f>'FF Deposit'!L177+IF(Components!M177&gt;0,K177-Components!M177,K177*(1+EarningsRate))</f>
        <v>2222.3252557919559</v>
      </c>
      <c r="M177" s="29">
        <f>'FF Deposit'!M177+IF(Components!N177&gt;0,L177-Components!N177,L177*(1+EarningsRate))</f>
        <v>3369.1265437548591</v>
      </c>
      <c r="N177" s="29">
        <f>'FF Deposit'!N177+IF(Components!O177&gt;0,M177-Components!O177,M177*(1+EarningsRate))</f>
        <v>4540.0106587649825</v>
      </c>
      <c r="O177" s="29">
        <f>'FF Deposit'!O177+IF(Components!P177&gt;0,N177-Components!P177,N177*(1+EarningsRate))</f>
        <v>5735.4833401903188</v>
      </c>
      <c r="P177" s="29">
        <f>'FF Deposit'!P177+IF(Components!Q177&gt;0,O177-Components!Q177,O177*(1+EarningsRate))</f>
        <v>6956.0609479255872</v>
      </c>
      <c r="Q177" s="29">
        <f>'FF Deposit'!Q177+IF(Components!R177&gt;0,P177-Components!R177,P177*(1+EarningsRate))</f>
        <v>8202.2706854232965</v>
      </c>
      <c r="R177" s="29">
        <f>'FF Deposit'!R177+IF(Components!S177&gt;0,Q177-Components!S177,Q177*(1+EarningsRate))</f>
        <v>9474.650827408459</v>
      </c>
      <c r="S177" s="29">
        <f>'FF Deposit'!S177+IF(Components!T177&gt;0,R177-Components!T177,R177*(1+EarningsRate))</f>
        <v>10773.750952375307</v>
      </c>
      <c r="T177" s="29">
        <f>'FF Deposit'!T177+IF(Components!U177&gt;0,S177-Components!U177,S177*(1+EarningsRate))</f>
        <v>12100.132179966458</v>
      </c>
      <c r="U177" s="29">
        <f>'FF Deposit'!U177+IF(Components!V177&gt;0,T177-Components!V177,T177*(1+EarningsRate))</f>
        <v>13454.367413337026</v>
      </c>
      <c r="V177" s="29">
        <f>'FF Deposit'!V177+IF(Components!W177&gt;0,U177-Components!W177,U177*(1+EarningsRate))</f>
        <v>14837.041586608375</v>
      </c>
      <c r="W177" s="29">
        <f>'FF Deposit'!W177+IF(Components!X177&gt;0,V177-Components!X177,V177*(1+EarningsRate))</f>
        <v>16248.751917518421</v>
      </c>
      <c r="X177" s="29">
        <f>'FF Deposit'!X177+IF(Components!Y177&gt;0,W177-Components!Y177,W177*(1+EarningsRate))</f>
        <v>17690.10816537758</v>
      </c>
      <c r="Y177" s="29">
        <f>'FF Deposit'!Y177+IF(Components!Z177&gt;0,X177-Components!Z177,X177*(1+EarningsRate))</f>
        <v>19161.732894441782</v>
      </c>
      <c r="Z177" s="29">
        <f>'FF Deposit'!Z177+IF(Components!AA177&gt;0,Y177-Components!AA177,Y177*(1+EarningsRate))</f>
        <v>20664.261742816332</v>
      </c>
      <c r="AA177" s="29">
        <f>'FF Deposit'!AA177+IF(Components!AB177&gt;0,Z177-Components!AB177,Z177*(1+EarningsRate))</f>
        <v>22198.343697006745</v>
      </c>
      <c r="AB177" s="29">
        <f>'FF Deposit'!AB177+IF(Components!AC177&gt;0,AA177-Components!AC177,AA177*(1+EarningsRate))</f>
        <v>23764.641372235157</v>
      </c>
      <c r="AC177" s="29">
        <f>'FF Deposit'!AC177+IF(Components!AD177&gt;0,AB177-Components!AD177,AB177*(1+EarningsRate))</f>
        <v>25363.831298643367</v>
      </c>
      <c r="AD177" s="29">
        <f>'FF Deposit'!AD177+IF(Components!AE177&gt;0,AC177-Components!AE177,AC177*(1+EarningsRate))</f>
        <v>26996.604213506147</v>
      </c>
      <c r="AE177" s="29">
        <f>'FF Deposit'!AE177+IF(Components!AF177&gt;0,AD177-Components!AF177,AD177*(1+EarningsRate))</f>
        <v>28663.665359581046</v>
      </c>
      <c r="AF177" s="29">
        <f>'FF Deposit'!AF177+IF(Components!AG177&gt;0,AE177-Components!AG177,AE177*(1+EarningsRate))</f>
        <v>30365.734789723519</v>
      </c>
      <c r="AG177" s="29">
        <f>'FF Deposit'!AG177+IF(Components!AH177&gt;0,AF177-Components!AH177,AF177*(1+EarningsRate))</f>
        <v>32103.547677898983</v>
      </c>
      <c r="AH177" s="29">
        <f>'FF Deposit'!AH177+IF(Components!AI177&gt;0,AG177-Components!AI177,AG177*(1+EarningsRate))</f>
        <v>33877.85463672613</v>
      </c>
      <c r="AI177" s="29">
        <f>'FF Deposit'!AI177+IF(Components!AJ177&gt;0,AH177-Components!AJ177,AH177*(1+EarningsRate))</f>
        <v>35689.422041688646</v>
      </c>
      <c r="AJ177" s="29">
        <f>'FF Deposit'!AJ177+IF(Components!AK177&gt;0,AI177-Components!AK177,AI177*(1+EarningsRate))</f>
        <v>37539.032362155376</v>
      </c>
      <c r="AK177" s="29">
        <f>'FF Deposit'!AK177+IF(Components!AL177&gt;0,AJ177-Components!AL177,AJ177*(1+EarningsRate))</f>
        <v>39427.484499351907</v>
      </c>
      <c r="AL177" s="29">
        <f>'FF Deposit'!AL177+IF(Components!AM177&gt;0,AK177-Components!AM177,AK177*(1+EarningsRate))</f>
        <v>41355.594131429563</v>
      </c>
      <c r="AM177" s="29">
        <f>'FF Deposit'!AM177+IF(Components!AN177&gt;0,AL177-Components!AN177,AL177*(1+EarningsRate))</f>
        <v>43324.194065780852</v>
      </c>
      <c r="AN177" s="29">
        <f>'FF Deposit'!AN177+IF(Components!AO177&gt;0,AM177-Components!AO177,AM177*(1+EarningsRate))</f>
        <v>45334.134598753517</v>
      </c>
      <c r="AO177" s="29">
        <f>'FF Deposit'!AO177+IF(Components!AP177&gt;0,AN177-Components!AP177,AN177*(1+EarningsRate))</f>
        <v>3085.9794550597298</v>
      </c>
      <c r="AP177" s="53"/>
    </row>
    <row r="178" spans="1:42" s="1" customFormat="1">
      <c r="A178" s="220" t="str">
        <f>Components!B178</f>
        <v>Maintenance Bldg</v>
      </c>
      <c r="B178" s="220" t="str">
        <f>Components!C178</f>
        <v>Gas Dispensor</v>
      </c>
      <c r="C178" s="211"/>
      <c r="D178" s="211"/>
      <c r="E178" s="82">
        <f>AnalysisYear-Components!I178-Components!J178</f>
        <v>9</v>
      </c>
      <c r="F178" s="82">
        <f>IF(H178&lt;0,Components!K178-MOD(AnalysisYear-Components!I178-Components!J178,Components!K178),AnalysisYear-Components!I178-Components!J178)</f>
        <v>9</v>
      </c>
      <c r="G178" s="11">
        <f>ROUND(Components!H178*IF(H178&lt;0,((1+InflationRate)^F178),((1+InflationRate)^H178)),0)</f>
        <v>25130</v>
      </c>
      <c r="H178" s="82">
        <f>IF(E178&gt;=0,Components!K178-E178,E178)</f>
        <v>11</v>
      </c>
      <c r="I178" s="82"/>
      <c r="J178" s="211"/>
      <c r="K178" s="29">
        <f>IF($H178&gt;0,FV(EarningsRate,F178,-'FF Deposit'!L178,1),Components!$H178)</f>
        <v>10028.183939915452</v>
      </c>
      <c r="L178" s="29">
        <f>'FF Deposit'!L178+IF(Components!M178&gt;0,K178-Components!M178,K178*(1+EarningsRate))</f>
        <v>11262.785218846177</v>
      </c>
      <c r="M178" s="29">
        <f>'FF Deposit'!M178+IF(Components!N178&gt;0,L178-Components!N178,L178*(1+EarningsRate))</f>
        <v>12523.313124634446</v>
      </c>
      <c r="N178" s="29">
        <f>'FF Deposit'!N178+IF(Components!O178&gt;0,M178-Components!O178,M178*(1+EarningsRate))</f>
        <v>13810.312116444269</v>
      </c>
      <c r="O178" s="29">
        <f>'FF Deposit'!O178+IF(Components!P178&gt;0,N178-Components!P178,N178*(1+EarningsRate))</f>
        <v>15124.338087082098</v>
      </c>
      <c r="P178" s="29">
        <f>'FF Deposit'!P178+IF(Components!Q178&gt;0,O178-Components!Q178,O178*(1+EarningsRate))</f>
        <v>16465.958603103321</v>
      </c>
      <c r="Q178" s="29">
        <f>'FF Deposit'!Q178+IF(Components!R178&gt;0,P178-Components!R178,P178*(1+EarningsRate))</f>
        <v>17835.75314996099</v>
      </c>
      <c r="R178" s="29">
        <f>'FF Deposit'!R178+IF(Components!S178&gt;0,Q178-Components!S178,Q178*(1+EarningsRate))</f>
        <v>19234.313382302669</v>
      </c>
      <c r="S178" s="29">
        <f>'FF Deposit'!S178+IF(Components!T178&gt;0,R178-Components!T178,R178*(1+EarningsRate))</f>
        <v>20662.243379523523</v>
      </c>
      <c r="T178" s="29">
        <f>'FF Deposit'!T178+IF(Components!U178&gt;0,S178-Components!U178,S178*(1+EarningsRate))</f>
        <v>22120.159906686014</v>
      </c>
      <c r="U178" s="29">
        <f>'FF Deposit'!U178+IF(Components!V178&gt;0,T178-Components!V178,T178*(1+EarningsRate))</f>
        <v>23608.692680918921</v>
      </c>
      <c r="V178" s="29">
        <f>'FF Deposit'!V178+IF(Components!W178&gt;0,U178-Components!W178,U178*(1+EarningsRate))</f>
        <v>25128.484643410717</v>
      </c>
      <c r="W178" s="29">
        <f>'FF Deposit'!W178+IF(Components!X178&gt;0,V178-Components!X178,V178*(1+EarningsRate))</f>
        <v>2036.0471758347142</v>
      </c>
      <c r="X178" s="29">
        <f>'FF Deposit'!X178+IF(Components!Y178&gt;0,W178-Components!Y178,W178*(1+EarningsRate))</f>
        <v>4116.3666989512403</v>
      </c>
      <c r="Y178" s="29">
        <f>'FF Deposit'!Y178+IF(Components!Z178&gt;0,X178-Components!Z178,X178*(1+EarningsRate))</f>
        <v>6240.3729320532129</v>
      </c>
      <c r="Z178" s="29">
        <f>'FF Deposit'!Z178+IF(Components!AA178&gt;0,Y178-Components!AA178,Y178*(1+EarningsRate))</f>
        <v>8408.9832960503281</v>
      </c>
      <c r="AA178" s="29">
        <f>'FF Deposit'!AA178+IF(Components!AB178&gt;0,Z178-Components!AB178,Z178*(1+EarningsRate))</f>
        <v>10623.134477691381</v>
      </c>
      <c r="AB178" s="29">
        <f>'FF Deposit'!AB178+IF(Components!AC178&gt;0,AA178-Components!AC178,AA178*(1+EarningsRate))</f>
        <v>12883.782834146896</v>
      </c>
      <c r="AC178" s="29">
        <f>'FF Deposit'!AC178+IF(Components!AD178&gt;0,AB178-Components!AD178,AB178*(1+EarningsRate))</f>
        <v>15191.904806087976</v>
      </c>
      <c r="AD178" s="29">
        <f>'FF Deposit'!AD178+IF(Components!AE178&gt;0,AC178-Components!AE178,AC178*(1+EarningsRate))</f>
        <v>17548.497339439818</v>
      </c>
      <c r="AE178" s="29">
        <f>'FF Deposit'!AE178+IF(Components!AF178&gt;0,AD178-Components!AF178,AD178*(1+EarningsRate))</f>
        <v>19954.578315992054</v>
      </c>
      <c r="AF178" s="29">
        <f>'FF Deposit'!AF178+IF(Components!AG178&gt;0,AE178-Components!AG178,AE178*(1+EarningsRate))</f>
        <v>22411.186993051884</v>
      </c>
      <c r="AG178" s="29">
        <f>'FF Deposit'!AG178+IF(Components!AH178&gt;0,AF178-Components!AH178,AF178*(1+EarningsRate))</f>
        <v>24919.38445232997</v>
      </c>
      <c r="AH178" s="29">
        <f>'FF Deposit'!AH178+IF(Components!AI178&gt;0,AG178-Components!AI178,AG178*(1+EarningsRate))</f>
        <v>27480.254058252896</v>
      </c>
      <c r="AI178" s="29">
        <f>'FF Deposit'!AI178+IF(Components!AJ178&gt;0,AH178-Components!AJ178,AH178*(1+EarningsRate))</f>
        <v>30094.901925900205</v>
      </c>
      <c r="AJ178" s="29">
        <f>'FF Deposit'!AJ178+IF(Components!AK178&gt;0,AI178-Components!AK178,AI178*(1+EarningsRate))</f>
        <v>32764.457398768107</v>
      </c>
      <c r="AK178" s="29">
        <f>'FF Deposit'!AK178+IF(Components!AL178&gt;0,AJ178-Components!AL178,AJ178*(1+EarningsRate))</f>
        <v>35490.073536566233</v>
      </c>
      <c r="AL178" s="29">
        <f>'FF Deposit'!AL178+IF(Components!AM178&gt;0,AK178-Components!AM178,AK178*(1+EarningsRate))</f>
        <v>38272.927613258114</v>
      </c>
      <c r="AM178" s="29">
        <f>'FF Deposit'!AM178+IF(Components!AN178&gt;0,AL178-Components!AN178,AL178*(1+EarningsRate))</f>
        <v>41114.221625560524</v>
      </c>
      <c r="AN178" s="29">
        <f>'FF Deposit'!AN178+IF(Components!AO178&gt;0,AM178-Components!AO178,AM178*(1+EarningsRate))</f>
        <v>44015.182812121289</v>
      </c>
      <c r="AO178" s="29">
        <f>'FF Deposit'!AO178+IF(Components!AP178&gt;0,AN178-Components!AP178,AN178*(1+EarningsRate))</f>
        <v>46977.064183599825</v>
      </c>
      <c r="AP178" s="53"/>
    </row>
    <row r="179" spans="1:42" s="1" customFormat="1">
      <c r="A179" s="220" t="str">
        <f>Components!B179</f>
        <v>Maintenance Bldg</v>
      </c>
      <c r="B179" s="220" t="str">
        <f>Components!C179</f>
        <v>Gas Monitoring System</v>
      </c>
      <c r="C179" s="211"/>
      <c r="D179" s="211"/>
      <c r="E179" s="82">
        <f>AnalysisYear-Components!I179-Components!J179</f>
        <v>9</v>
      </c>
      <c r="F179" s="82">
        <f>IF(H179&lt;0,Components!K179-MOD(AnalysisYear-Components!I179-Components!J179,Components!K179),AnalysisYear-Components!I179-Components!J179)</f>
        <v>9</v>
      </c>
      <c r="G179" s="11">
        <f>ROUND(Components!H179*IF(H179&lt;0,((1+InflationRate)^F179),((1+InflationRate)^H179)),0)</f>
        <v>8377</v>
      </c>
      <c r="H179" s="82">
        <f>IF(E179&gt;=0,Components!K179-E179,E179)</f>
        <v>11</v>
      </c>
      <c r="I179" s="82"/>
      <c r="J179" s="211"/>
      <c r="K179" s="29">
        <f>IF($H179&gt;0,FV(EarningsRate,F179,-'FF Deposit'!L179,1),Components!$H179)</f>
        <v>3342.0572274259639</v>
      </c>
      <c r="L179" s="29">
        <f>'FF Deposit'!L179+IF(Components!M179&gt;0,K179-Components!M179,K179*(1+EarningsRate))</f>
        <v>3753.5904840942517</v>
      </c>
      <c r="M179" s="29">
        <f>'FF Deposit'!M179+IF(Components!N179&gt;0,L179-Components!N179,L179*(1+EarningsRate))</f>
        <v>4173.765939152574</v>
      </c>
      <c r="N179" s="29">
        <f>'FF Deposit'!N179+IF(Components!O179&gt;0,M179-Components!O179,M179*(1+EarningsRate))</f>
        <v>4602.7650787671209</v>
      </c>
      <c r="O179" s="29">
        <f>'FF Deposit'!O179+IF(Components!P179&gt;0,N179-Components!P179,N179*(1+EarningsRate))</f>
        <v>5040.7732003135734</v>
      </c>
      <c r="P179" s="29">
        <f>'FF Deposit'!P179+IF(Components!Q179&gt;0,O179-Components!Q179,O179*(1+EarningsRate))</f>
        <v>5487.9794924125008</v>
      </c>
      <c r="Q179" s="29">
        <f>'FF Deposit'!Q179+IF(Components!R179&gt;0,P179-Components!R179,P179*(1+EarningsRate))</f>
        <v>5944.5771166455061</v>
      </c>
      <c r="R179" s="29">
        <f>'FF Deposit'!R179+IF(Components!S179&gt;0,Q179-Components!S179,Q179*(1+EarningsRate))</f>
        <v>6410.7632909874037</v>
      </c>
      <c r="S179" s="29">
        <f>'FF Deposit'!S179+IF(Components!T179&gt;0,R179-Components!T179,R179*(1+EarningsRate))</f>
        <v>6886.7393749904813</v>
      </c>
      <c r="T179" s="29">
        <f>'FF Deposit'!T179+IF(Components!U179&gt;0,S179-Components!U179,S179*(1+EarningsRate))</f>
        <v>7372.7109567576235</v>
      </c>
      <c r="U179" s="29">
        <f>'FF Deposit'!U179+IF(Components!V179&gt;0,T179-Components!V179,T179*(1+EarningsRate))</f>
        <v>7868.8879417418757</v>
      </c>
      <c r="V179" s="29">
        <f>'FF Deposit'!V179+IF(Components!W179&gt;0,U179-Components!W179,U179*(1+EarningsRate))</f>
        <v>8375.4846434107985</v>
      </c>
      <c r="W179" s="29">
        <f>'FF Deposit'!W179+IF(Components!X179&gt;0,V179-Components!X179,V179*(1+EarningsRate))</f>
        <v>677.69918117903694</v>
      </c>
      <c r="X179" s="29">
        <f>'FF Deposit'!X179+IF(Components!Y179&gt;0,W179-Components!Y179,W179*(1+EarningsRate))</f>
        <v>1371.145401752035</v>
      </c>
      <c r="Y179" s="29">
        <f>'FF Deposit'!Y179+IF(Components!Z179&gt;0,X179-Components!Z179,X179*(1+EarningsRate))</f>
        <v>2079.1539929570663</v>
      </c>
      <c r="Z179" s="29">
        <f>'FF Deposit'!Z179+IF(Components!AA179&gt;0,Y179-Components!AA179,Y179*(1+EarningsRate))</f>
        <v>2802.0307645774028</v>
      </c>
      <c r="AA179" s="29">
        <f>'FF Deposit'!AA179+IF(Components!AB179&gt;0,Z179-Components!AB179,Z179*(1+EarningsRate))</f>
        <v>3540.087948401766</v>
      </c>
      <c r="AB179" s="29">
        <f>'FF Deposit'!AB179+IF(Components!AC179&gt;0,AA179-Components!AC179,AA179*(1+EarningsRate))</f>
        <v>4293.6443330864413</v>
      </c>
      <c r="AC179" s="29">
        <f>'FF Deposit'!AC179+IF(Components!AD179&gt;0,AB179-Components!AD179,AB179*(1+EarningsRate))</f>
        <v>5063.0254018494943</v>
      </c>
      <c r="AD179" s="29">
        <f>'FF Deposit'!AD179+IF(Components!AE179&gt;0,AC179-Components!AE179,AC179*(1+EarningsRate))</f>
        <v>5848.5634730565716</v>
      </c>
      <c r="AE179" s="29">
        <f>'FF Deposit'!AE179+IF(Components!AF179&gt;0,AD179-Components!AF179,AD179*(1+EarningsRate))</f>
        <v>6650.5978437589974</v>
      </c>
      <c r="AF179" s="29">
        <f>'FF Deposit'!AF179+IF(Components!AG179&gt;0,AE179-Components!AG179,AE179*(1+EarningsRate))</f>
        <v>7469.4749362461744</v>
      </c>
      <c r="AG179" s="29">
        <f>'FF Deposit'!AG179+IF(Components!AH179&gt;0,AF179-Components!AH179,AF179*(1+EarningsRate))</f>
        <v>8305.5484476755828</v>
      </c>
      <c r="AH179" s="29">
        <f>'FF Deposit'!AH179+IF(Components!AI179&gt;0,AG179-Components!AI179,AG179*(1+EarningsRate))</f>
        <v>9159.1795028450088</v>
      </c>
      <c r="AI179" s="29">
        <f>'FF Deposit'!AI179+IF(Components!AJ179&gt;0,AH179-Components!AJ179,AH179*(1+EarningsRate))</f>
        <v>10030.736810172992</v>
      </c>
      <c r="AJ179" s="29">
        <f>'FF Deposit'!AJ179+IF(Components!AK179&gt;0,AI179-Components!AK179,AI179*(1+EarningsRate))</f>
        <v>10920.596820954863</v>
      </c>
      <c r="AK179" s="29">
        <f>'FF Deposit'!AK179+IF(Components!AL179&gt;0,AJ179-Components!AL179,AJ179*(1+EarningsRate))</f>
        <v>11829.143891963153</v>
      </c>
      <c r="AL179" s="29">
        <f>'FF Deposit'!AL179+IF(Components!AM179&gt;0,AK179-Components!AM179,AK179*(1+EarningsRate))</f>
        <v>12756.770451462617</v>
      </c>
      <c r="AM179" s="29">
        <f>'FF Deposit'!AM179+IF(Components!AN179&gt;0,AL179-Components!AN179,AL179*(1+EarningsRate))</f>
        <v>13703.87716871157</v>
      </c>
      <c r="AN179" s="29">
        <f>'FF Deposit'!AN179+IF(Components!AO179&gt;0,AM179-Components!AO179,AM179*(1+EarningsRate))</f>
        <v>14670.873127022751</v>
      </c>
      <c r="AO179" s="29">
        <f>'FF Deposit'!AO179+IF(Components!AP179&gt;0,AN179-Components!AP179,AN179*(1+EarningsRate))</f>
        <v>15658.176000458467</v>
      </c>
      <c r="AP179" s="53"/>
    </row>
    <row r="180" spans="1:42" s="1" customFormat="1">
      <c r="A180" s="220" t="str">
        <f>Components!B180</f>
        <v>Maintenance Bldg</v>
      </c>
      <c r="B180" s="220" t="str">
        <f>Components!C180</f>
        <v>Gas Storage Tank</v>
      </c>
      <c r="C180" s="211"/>
      <c r="D180" s="211"/>
      <c r="E180" s="82">
        <f>AnalysisYear-Components!I180-Components!J180</f>
        <v>9</v>
      </c>
      <c r="F180" s="82">
        <f>IF(H180&lt;0,Components!K180-MOD(AnalysisYear-Components!I180-Components!J180,Components!K180),AnalysisYear-Components!I180-Components!J180)</f>
        <v>9</v>
      </c>
      <c r="G180" s="11">
        <f>ROUND(Components!H180*IF(H180&lt;0,((1+InflationRate)^F180),((1+InflationRate)^H180)),0)</f>
        <v>125651</v>
      </c>
      <c r="H180" s="82">
        <f>IF(E180&gt;=0,Components!K180-E180,E180)</f>
        <v>11</v>
      </c>
      <c r="I180" s="82"/>
      <c r="J180" s="211"/>
      <c r="K180" s="29">
        <f>IF($H180&gt;0,FV(EarningsRate,F180,-'FF Deposit'!L180,1),Components!$H180)</f>
        <v>50146.141515642536</v>
      </c>
      <c r="L180" s="29">
        <f>'FF Deposit'!L180+IF(Components!M180&gt;0,K180-Components!M180,K180*(1+EarningsRate))</f>
        <v>56319.298316918059</v>
      </c>
      <c r="M180" s="29">
        <f>'FF Deposit'!M180+IF(Components!N180&gt;0,L180-Components!N180,L180*(1+EarningsRate))</f>
        <v>62622.091411020367</v>
      </c>
      <c r="N180" s="29">
        <f>'FF Deposit'!N180+IF(Components!O180&gt;0,M180-Components!O180,M180*(1+EarningsRate))</f>
        <v>69057.24316009882</v>
      </c>
      <c r="O180" s="29">
        <f>'FF Deposit'!O180+IF(Components!P180&gt;0,N180-Components!P180,N180*(1+EarningsRate))</f>
        <v>75627.533095907915</v>
      </c>
      <c r="P180" s="29">
        <f>'FF Deposit'!P180+IF(Components!Q180&gt;0,O180-Components!Q180,O180*(1+EarningsRate))</f>
        <v>82335.799120369004</v>
      </c>
      <c r="Q180" s="29">
        <f>'FF Deposit'!Q180+IF(Components!R180&gt;0,P180-Components!R180,P180*(1+EarningsRate))</f>
        <v>89184.938731343776</v>
      </c>
      <c r="R180" s="29">
        <f>'FF Deposit'!R180+IF(Components!S180&gt;0,Q180-Components!S180,Q180*(1+EarningsRate))</f>
        <v>96177.910274149021</v>
      </c>
      <c r="S180" s="29">
        <f>'FF Deposit'!S180+IF(Components!T180&gt;0,R180-Components!T180,R180*(1+EarningsRate))</f>
        <v>103317.73421935317</v>
      </c>
      <c r="T180" s="29">
        <f>'FF Deposit'!T180+IF(Components!U180&gt;0,S180-Components!U180,S180*(1+EarningsRate))</f>
        <v>110607.49446740661</v>
      </c>
      <c r="U180" s="29">
        <f>'FF Deposit'!U180+IF(Components!V180&gt;0,T180-Components!V180,T180*(1+EarningsRate))</f>
        <v>118050.33968066916</v>
      </c>
      <c r="V180" s="29">
        <f>'FF Deposit'!V180+IF(Components!W180&gt;0,U180-Components!W180,U180*(1+EarningsRate))</f>
        <v>125649.48464341024</v>
      </c>
      <c r="W180" s="29">
        <f>'FF Deposit'!W180+IF(Components!X180&gt;0,V180-Components!X180,V180*(1+EarningsRate))</f>
        <v>10186.378386410941</v>
      </c>
      <c r="X180" s="29">
        <f>'FF Deposit'!X180+IF(Components!Y180&gt;0,W180-Components!Y180,W180*(1+EarningsRate))</f>
        <v>20588.186075526275</v>
      </c>
      <c r="Y180" s="29">
        <f>'FF Deposit'!Y180+IF(Components!Z180&gt;0,X180-Components!Z180,X180*(1+EarningsRate))</f>
        <v>31208.431726113027</v>
      </c>
      <c r="Z180" s="29">
        <f>'FF Deposit'!Z180+IF(Components!AA180&gt;0,Y180-Components!AA180,Y180*(1+EarningsRate))</f>
        <v>42051.702535362099</v>
      </c>
      <c r="AA180" s="29">
        <f>'FF Deposit'!AA180+IF(Components!AB180&gt;0,Z180-Components!AB180,Z180*(1+EarningsRate))</f>
        <v>53122.682031605407</v>
      </c>
      <c r="AB180" s="29">
        <f>'FF Deposit'!AB180+IF(Components!AC180&gt;0,AA180-Components!AC180,AA180*(1+EarningsRate))</f>
        <v>64426.15209726982</v>
      </c>
      <c r="AC180" s="29">
        <f>'FF Deposit'!AC180+IF(Components!AD180&gt;0,AB180-Components!AD180,AB180*(1+EarningsRate))</f>
        <v>75966.995034313193</v>
      </c>
      <c r="AD180" s="29">
        <f>'FF Deposit'!AD180+IF(Components!AE180&gt;0,AC180-Components!AE180,AC180*(1+EarningsRate))</f>
        <v>87750.195673034468</v>
      </c>
      <c r="AE180" s="29">
        <f>'FF Deposit'!AE180+IF(Components!AF180&gt;0,AD180-Components!AF180,AD180*(1+EarningsRate))</f>
        <v>99780.843525168893</v>
      </c>
      <c r="AF180" s="29">
        <f>'FF Deposit'!AF180+IF(Components!AG180&gt;0,AE180-Components!AG180,AE180*(1+EarningsRate))</f>
        <v>112064.13498219814</v>
      </c>
      <c r="AG180" s="29">
        <f>'FF Deposit'!AG180+IF(Components!AH180&gt;0,AF180-Components!AH180,AF180*(1+EarningsRate))</f>
        <v>124605.375559825</v>
      </c>
      <c r="AH180" s="29">
        <f>'FF Deposit'!AH180+IF(Components!AI180&gt;0,AG180-Components!AI180,AG180*(1+EarningsRate))</f>
        <v>137409.98218958202</v>
      </c>
      <c r="AI180" s="29">
        <f>'FF Deposit'!AI180+IF(Components!AJ180&gt;0,AH180-Components!AJ180,AH180*(1+EarningsRate))</f>
        <v>150483.48555856393</v>
      </c>
      <c r="AJ180" s="29">
        <f>'FF Deposit'!AJ180+IF(Components!AK180&gt;0,AI180-Components!AK180,AI180*(1+EarningsRate))</f>
        <v>163831.53249829446</v>
      </c>
      <c r="AK180" s="29">
        <f>'FF Deposit'!AK180+IF(Components!AL180&gt;0,AJ180-Components!AL180,AJ180*(1+EarningsRate))</f>
        <v>177459.88842375932</v>
      </c>
      <c r="AL180" s="29">
        <f>'FF Deposit'!AL180+IF(Components!AM180&gt;0,AK180-Components!AM180,AK180*(1+EarningsRate))</f>
        <v>191374.43982365893</v>
      </c>
      <c r="AM180" s="29">
        <f>'FF Deposit'!AM180+IF(Components!AN180&gt;0,AL180-Components!AN180,AL180*(1+EarningsRate))</f>
        <v>205581.19680295643</v>
      </c>
      <c r="AN180" s="29">
        <f>'FF Deposit'!AN180+IF(Components!AO180&gt;0,AM180-Components!AO180,AM180*(1+EarningsRate))</f>
        <v>220086.29567881918</v>
      </c>
      <c r="AO180" s="29">
        <f>'FF Deposit'!AO180+IF(Components!AP180&gt;0,AN180-Components!AP180,AN180*(1+EarningsRate))</f>
        <v>234896.00163107505</v>
      </c>
      <c r="AP180" s="53"/>
    </row>
    <row r="181" spans="1:42" s="1" customFormat="1">
      <c r="A181" s="220" t="str">
        <f>Components!B181</f>
        <v>Maintenance Bldg</v>
      </c>
      <c r="B181" s="220" t="str">
        <f>Components!C181</f>
        <v>Inventory Remodel</v>
      </c>
      <c r="C181" s="211"/>
      <c r="D181" s="211"/>
      <c r="E181" s="82">
        <f>AnalysisYear-Components!I181-Components!J181</f>
        <v>4</v>
      </c>
      <c r="F181" s="82">
        <f>IF(H181&lt;0,Components!K181-MOD(AnalysisYear-Components!I181-Components!J181,Components!K181),AnalysisYear-Components!I181-Components!J181)</f>
        <v>4</v>
      </c>
      <c r="G181" s="11">
        <f>ROUND(Components!H181*IF(H181&lt;0,((1+InflationRate)^F181),((1+InflationRate)^H181)),0)</f>
        <v>19898</v>
      </c>
      <c r="H181" s="82">
        <f>IF(E181&gt;=0,Components!K181-E181,E181)</f>
        <v>16</v>
      </c>
      <c r="I181" s="82"/>
      <c r="J181" s="211"/>
      <c r="K181" s="29">
        <f>IF($H181&gt;0,FV(EarningsRate,F181,-'FF Deposit'!L181,1),Components!$H181)</f>
        <v>3345.7669624973123</v>
      </c>
      <c r="L181" s="29">
        <f>'FF Deposit'!L181+IF(Components!M181&gt;0,K181-Components!M181,K181*(1+EarningsRate))</f>
        <v>4226.841413850957</v>
      </c>
      <c r="M181" s="29">
        <f>'FF Deposit'!M181+IF(Components!N181&gt;0,L181-Components!N181,L181*(1+EarningsRate))</f>
        <v>5126.4184286830277</v>
      </c>
      <c r="N181" s="29">
        <f>'FF Deposit'!N181+IF(Components!O181&gt;0,M181-Components!O181,M181*(1+EarningsRate))</f>
        <v>6044.8865608265723</v>
      </c>
      <c r="O181" s="29">
        <f>'FF Deposit'!O181+IF(Components!P181&gt;0,N181-Components!P181,N181*(1+EarningsRate))</f>
        <v>6982.6425237451313</v>
      </c>
      <c r="P181" s="29">
        <f>'FF Deposit'!P181+IF(Components!Q181&gt;0,O181-Components!Q181,O181*(1+EarningsRate))</f>
        <v>7940.09136188498</v>
      </c>
      <c r="Q181" s="29">
        <f>'FF Deposit'!Q181+IF(Components!R181&gt;0,P181-Components!R181,P181*(1+EarningsRate))</f>
        <v>8917.6466256257645</v>
      </c>
      <c r="R181" s="29">
        <f>'FF Deposit'!R181+IF(Components!S181&gt;0,Q181-Components!S181,Q181*(1+EarningsRate))</f>
        <v>9915.7305499051054</v>
      </c>
      <c r="S181" s="29">
        <f>'FF Deposit'!S181+IF(Components!T181&gt;0,R181-Components!T181,R181*(1+EarningsRate))</f>
        <v>10934.774236594312</v>
      </c>
      <c r="T181" s="29">
        <f>'FF Deposit'!T181+IF(Components!U181&gt;0,S181-Components!U181,S181*(1+EarningsRate))</f>
        <v>11975.217840703994</v>
      </c>
      <c r="U181" s="29">
        <f>'FF Deposit'!U181+IF(Components!V181&gt;0,T181-Components!V181,T181*(1+EarningsRate))</f>
        <v>13037.510760499978</v>
      </c>
      <c r="V181" s="29">
        <f>'FF Deposit'!V181+IF(Components!W181&gt;0,U181-Components!W181,U181*(1+EarningsRate))</f>
        <v>14122.111831611677</v>
      </c>
      <c r="W181" s="29">
        <f>'FF Deposit'!W181+IF(Components!X181&gt;0,V181-Components!X181,V181*(1+EarningsRate))</f>
        <v>15229.489525216723</v>
      </c>
      <c r="X181" s="29">
        <f>'FF Deposit'!X181+IF(Components!Y181&gt;0,W181-Components!Y181,W181*(1+EarningsRate))</f>
        <v>16360.122150387473</v>
      </c>
      <c r="Y181" s="29">
        <f>'FF Deposit'!Y181+IF(Components!Z181&gt;0,X181-Components!Z181,X181*(1+EarningsRate))</f>
        <v>17514.498060686808</v>
      </c>
      <c r="Z181" s="29">
        <f>'FF Deposit'!Z181+IF(Components!AA181&gt;0,Y181-Components!AA181,Y181*(1+EarningsRate))</f>
        <v>18693.115865102431</v>
      </c>
      <c r="AA181" s="29">
        <f>'FF Deposit'!AA181+IF(Components!AB181&gt;0,Z181-Components!AB181,Z181*(1+EarningsRate))</f>
        <v>19896.484643410779</v>
      </c>
      <c r="AB181" s="29">
        <f>'FF Deposit'!AB181+IF(Components!AC181&gt;0,AA181-Components!AC181,AA181*(1+EarningsRate))</f>
        <v>1611.8320079222274</v>
      </c>
      <c r="AC181" s="29">
        <f>'FF Deposit'!AC181+IF(Components!AD181&gt;0,AB181-Components!AD181,AB181*(1+EarningsRate))</f>
        <v>3259.027844600043</v>
      </c>
      <c r="AD181" s="29">
        <f>'FF Deposit'!AD181+IF(Components!AE181&gt;0,AC181-Components!AE181,AC181*(1+EarningsRate))</f>
        <v>4940.8147938480924</v>
      </c>
      <c r="AE181" s="29">
        <f>'FF Deposit'!AE181+IF(Components!AF181&gt;0,AD181-Components!AF181,AD181*(1+EarningsRate))</f>
        <v>6657.9192690303507</v>
      </c>
      <c r="AF181" s="29">
        <f>'FF Deposit'!AF181+IF(Components!AG181&gt;0,AE181-Components!AG181,AE181*(1+EarningsRate))</f>
        <v>8411.0829381914355</v>
      </c>
      <c r="AG181" s="29">
        <f>'FF Deposit'!AG181+IF(Components!AH181&gt;0,AF181-Components!AH181,AF181*(1+EarningsRate))</f>
        <v>10201.063044404904</v>
      </c>
      <c r="AH181" s="29">
        <f>'FF Deposit'!AH181+IF(Components!AI181&gt;0,AG181-Components!AI181,AG181*(1+EarningsRate))</f>
        <v>12028.632732848853</v>
      </c>
      <c r="AI181" s="29">
        <f>'FF Deposit'!AI181+IF(Components!AJ181&gt;0,AH181-Components!AJ181,AH181*(1+EarningsRate))</f>
        <v>13894.581384750127</v>
      </c>
      <c r="AJ181" s="29">
        <f>'FF Deposit'!AJ181+IF(Components!AK181&gt;0,AI181-Components!AK181,AI181*(1+EarningsRate))</f>
        <v>15799.714958341327</v>
      </c>
      <c r="AK181" s="29">
        <f>'FF Deposit'!AK181+IF(Components!AL181&gt;0,AJ181-Components!AL181,AJ181*(1+EarningsRate))</f>
        <v>17744.85633697794</v>
      </c>
      <c r="AL181" s="29">
        <f>'FF Deposit'!AL181+IF(Components!AM181&gt;0,AK181-Components!AM181,AK181*(1+EarningsRate))</f>
        <v>19730.845684565924</v>
      </c>
      <c r="AM181" s="29">
        <f>'FF Deposit'!AM181+IF(Components!AN181&gt;0,AL181-Components!AN181,AL181*(1+EarningsRate))</f>
        <v>21758.540808453257</v>
      </c>
      <c r="AN181" s="29">
        <f>'FF Deposit'!AN181+IF(Components!AO181&gt;0,AM181-Components!AO181,AM181*(1+EarningsRate))</f>
        <v>23828.817529942226</v>
      </c>
      <c r="AO181" s="29">
        <f>'FF Deposit'!AO181+IF(Components!AP181&gt;0,AN181-Components!AP181,AN181*(1+EarningsRate))</f>
        <v>25942.570062582461</v>
      </c>
      <c r="AP181" s="53"/>
    </row>
    <row r="182" spans="1:42" s="1" customFormat="1">
      <c r="A182" s="220" t="str">
        <f>Components!B182</f>
        <v>Maintenance Bldg</v>
      </c>
      <c r="B182" s="220" t="str">
        <f>Components!C182</f>
        <v>Paint Maintenance bldg</v>
      </c>
      <c r="C182" s="211"/>
      <c r="D182" s="211"/>
      <c r="E182" s="82">
        <f>AnalysisYear-Components!I182-Components!J182</f>
        <v>6</v>
      </c>
      <c r="F182" s="82">
        <f>IF(H182&lt;0,Components!K182-MOD(AnalysisYear-Components!I182-Components!J182,Components!K182),AnalysisYear-Components!I182-Components!J182)</f>
        <v>6</v>
      </c>
      <c r="G182" s="11">
        <f>ROUND(Components!H182*IF(H182&lt;0,((1+InflationRate)^F182),((1+InflationRate)^H182)),0)</f>
        <v>19008</v>
      </c>
      <c r="H182" s="82">
        <f>IF(E182&gt;=0,Components!K182-E182,E182)</f>
        <v>4</v>
      </c>
      <c r="I182" s="82"/>
      <c r="J182" s="211"/>
      <c r="K182" s="29">
        <f>IF($H182&gt;0,FV(EarningsRate,F182,-'FF Deposit'!L182,1),Components!$H182)</f>
        <v>10926.754978866808</v>
      </c>
      <c r="L182" s="29">
        <f>'FF Deposit'!L182+IF(Components!M182&gt;0,K182-Components!M182,K182*(1+EarningsRate))</f>
        <v>12884.230235384945</v>
      </c>
      <c r="M182" s="29">
        <f>'FF Deposit'!M182+IF(Components!N182&gt;0,L182-Components!N182,L182*(1+EarningsRate))</f>
        <v>14882.812472289961</v>
      </c>
      <c r="N182" s="29">
        <f>'FF Deposit'!N182+IF(Components!O182&gt;0,M182-Components!O182,M182*(1+EarningsRate))</f>
        <v>16923.364936169983</v>
      </c>
      <c r="O182" s="29">
        <f>'FF Deposit'!O182+IF(Components!P182&gt;0,N182-Components!P182,N182*(1+EarningsRate))</f>
        <v>19006.769001791483</v>
      </c>
      <c r="P182" s="29">
        <f>'FF Deposit'!P182+IF(Components!Q182&gt;0,O182-Components!Q182,O182*(1+EarningsRate))</f>
        <v>2436.3025649356741</v>
      </c>
      <c r="Q182" s="29">
        <f>'FF Deposit'!Q182+IF(Components!R182&gt;0,P182-Components!R182,P182*(1+EarningsRate))</f>
        <v>4924.998481943514</v>
      </c>
      <c r="R182" s="29">
        <f>'FF Deposit'!R182+IF(Components!S182&gt;0,Q182-Components!S182,Q182*(1+EarningsRate))</f>
        <v>7465.9570132085182</v>
      </c>
      <c r="S182" s="29">
        <f>'FF Deposit'!S182+IF(Components!T182&gt;0,R182-Components!T182,R182*(1+EarningsRate))</f>
        <v>10060.275673630087</v>
      </c>
      <c r="T182" s="29">
        <f>'FF Deposit'!T182+IF(Components!U182&gt;0,S182-Components!U182,S182*(1+EarningsRate))</f>
        <v>12709.075025920509</v>
      </c>
      <c r="U182" s="29">
        <f>'FF Deposit'!U182+IF(Components!V182&gt;0,T182-Components!V182,T182*(1+EarningsRate))</f>
        <v>15413.499164609031</v>
      </c>
      <c r="V182" s="29">
        <f>'FF Deposit'!V182+IF(Components!W182&gt;0,U182-Components!W182,U182*(1+EarningsRate))</f>
        <v>18174.716210210012</v>
      </c>
      <c r="W182" s="29">
        <f>'FF Deposit'!W182+IF(Components!X182&gt;0,V182-Components!X182,V182*(1+EarningsRate))</f>
        <v>20993.918813768614</v>
      </c>
      <c r="X182" s="29">
        <f>'FF Deposit'!X182+IF(Components!Y182&gt;0,W182-Components!Y182,W182*(1+EarningsRate))</f>
        <v>23872.324672001945</v>
      </c>
      <c r="Y182" s="29">
        <f>'FF Deposit'!Y182+IF(Components!Z182&gt;0,X182-Components!Z182,X182*(1+EarningsRate))</f>
        <v>26811.177053258176</v>
      </c>
      <c r="Z182" s="29">
        <f>'FF Deposit'!Z182+IF(Components!AA182&gt;0,Y182-Components!AA182,Y182*(1+EarningsRate))</f>
        <v>3437.4740805636297</v>
      </c>
      <c r="AA182" s="29">
        <f>'FF Deposit'!AA182+IF(Components!AB182&gt;0,Z182-Components!AB182,Z182*(1+EarningsRate))</f>
        <v>6947.95806356092</v>
      </c>
      <c r="AB182" s="29">
        <f>'FF Deposit'!AB182+IF(Components!AC182&gt;0,AA182-Components!AC182,AA182*(1+EarningsRate))</f>
        <v>10532.162210201153</v>
      </c>
      <c r="AC182" s="29">
        <f>'FF Deposit'!AC182+IF(Components!AD182&gt;0,AB182-Components!AD182,AB182*(1+EarningsRate))</f>
        <v>14191.63464392083</v>
      </c>
      <c r="AD182" s="29">
        <f>'FF Deposit'!AD182+IF(Components!AE182&gt;0,AC182-Components!AE182,AC182*(1+EarningsRate))</f>
        <v>17927.955998748621</v>
      </c>
      <c r="AE182" s="29">
        <f>'FF Deposit'!AE182+IF(Components!AF182&gt;0,AD182-Components!AF182,AD182*(1+EarningsRate))</f>
        <v>21742.740102027794</v>
      </c>
      <c r="AF182" s="29">
        <f>'FF Deposit'!AF182+IF(Components!AG182&gt;0,AE182-Components!AG182,AE182*(1+EarningsRate))</f>
        <v>25637.634671475829</v>
      </c>
      <c r="AG182" s="29">
        <f>'FF Deposit'!AG182+IF(Components!AH182&gt;0,AF182-Components!AH182,AF182*(1+EarningsRate))</f>
        <v>29614.322026882273</v>
      </c>
      <c r="AH182" s="29">
        <f>'FF Deposit'!AH182+IF(Components!AI182&gt;0,AG182-Components!AI182,AG182*(1+EarningsRate))</f>
        <v>33674.519816752254</v>
      </c>
      <c r="AI182" s="29">
        <f>'FF Deposit'!AI182+IF(Components!AJ182&gt;0,AH182-Components!AJ182,AH182*(1+EarningsRate))</f>
        <v>37819.981760209499</v>
      </c>
      <c r="AJ182" s="29">
        <f>'FF Deposit'!AJ182+IF(Components!AK182&gt;0,AI182-Components!AK182,AI182*(1+EarningsRate))</f>
        <v>4848.1708608639401</v>
      </c>
      <c r="AK182" s="29">
        <f>'FF Deposit'!AK182+IF(Components!AL182&gt;0,AJ182-Components!AL182,AJ182*(1+EarningsRate))</f>
        <v>9800.1715495965236</v>
      </c>
      <c r="AL182" s="29">
        <f>'FF Deposit'!AL182+IF(Components!AM182&gt;0,AK182-Components!AM182,AK182*(1+EarningsRate))</f>
        <v>14856.164252792491</v>
      </c>
      <c r="AM182" s="29">
        <f>'FF Deposit'!AM182+IF(Components!AN182&gt;0,AL182-Components!AN182,AL182*(1+EarningsRate))</f>
        <v>20018.332802755573</v>
      </c>
      <c r="AN182" s="29">
        <f>'FF Deposit'!AN182+IF(Components!AO182&gt;0,AM182-Components!AO182,AM182*(1+EarningsRate))</f>
        <v>25288.906892267878</v>
      </c>
      <c r="AO182" s="29">
        <f>'FF Deposit'!AO182+IF(Components!AP182&gt;0,AN182-Components!AP182,AN182*(1+EarningsRate))</f>
        <v>30670.163037659942</v>
      </c>
      <c r="AP182" s="53"/>
    </row>
    <row r="183" spans="1:42" s="1" customFormat="1">
      <c r="A183" s="220" t="str">
        <f>Components!B183</f>
        <v>Maintenance Bldg</v>
      </c>
      <c r="B183" s="220" t="str">
        <f>Components!C183</f>
        <v>Roof, Shop, asphalt</v>
      </c>
      <c r="C183" s="211"/>
      <c r="D183" s="211"/>
      <c r="E183" s="82">
        <f>AnalysisYear-Components!I183-Components!J183</f>
        <v>6</v>
      </c>
      <c r="F183" s="82">
        <f>IF(H183&lt;0,Components!K183-MOD(AnalysisYear-Components!I183-Components!J183,Components!K183),AnalysisYear-Components!I183-Components!J183)</f>
        <v>6</v>
      </c>
      <c r="G183" s="11">
        <f>ROUND(Components!H183*IF(H183&lt;0,((1+InflationRate)^F183),((1+InflationRate)^H183)),0)</f>
        <v>119387</v>
      </c>
      <c r="H183" s="82">
        <f>IF(E183&gt;=0,Components!K183-E183,E183)</f>
        <v>19</v>
      </c>
      <c r="I183" s="82"/>
      <c r="J183" s="211"/>
      <c r="K183" s="29">
        <f>IF($H183&gt;0,FV(EarningsRate,F183,-'FF Deposit'!L183,1),Components!$H183)</f>
        <v>23270.730847534574</v>
      </c>
      <c r="L183" s="29">
        <f>'FF Deposit'!L183+IF(Components!M183&gt;0,K183-Components!M183,K183*(1+EarningsRate))</f>
        <v>27439.367259907962</v>
      </c>
      <c r="M183" s="29">
        <f>'FF Deposit'!M183+IF(Components!N183&gt;0,L183-Components!N183,L183*(1+EarningsRate))</f>
        <v>31695.545036941192</v>
      </c>
      <c r="N183" s="29">
        <f>'FF Deposit'!N183+IF(Components!O183&gt;0,M183-Components!O183,M183*(1+EarningsRate))</f>
        <v>36041.102547292117</v>
      </c>
      <c r="O183" s="29">
        <f>'FF Deposit'!O183+IF(Components!P183&gt;0,N183-Components!P183,N183*(1+EarningsRate))</f>
        <v>40477.916765360416</v>
      </c>
      <c r="P183" s="29">
        <f>'FF Deposit'!P183+IF(Components!Q183&gt;0,O183-Components!Q183,O183*(1+EarningsRate))</f>
        <v>45007.90408200815</v>
      </c>
      <c r="Q183" s="29">
        <f>'FF Deposit'!Q183+IF(Components!R183&gt;0,P183-Components!R183,P183*(1+EarningsRate))</f>
        <v>49633.021132305483</v>
      </c>
      <c r="R183" s="29">
        <f>'FF Deposit'!R183+IF(Components!S183&gt;0,Q183-Components!S183,Q183*(1+EarningsRate))</f>
        <v>54355.265640659061</v>
      </c>
      <c r="S183" s="29">
        <f>'FF Deposit'!S183+IF(Components!T183&gt;0,R183-Components!T183,R183*(1+EarningsRate))</f>
        <v>59176.677283688063</v>
      </c>
      <c r="T183" s="29">
        <f>'FF Deposit'!T183+IF(Components!U183&gt;0,S183-Components!U183,S183*(1+EarningsRate))</f>
        <v>64099.338571220673</v>
      </c>
      <c r="U183" s="29">
        <f>'FF Deposit'!U183+IF(Components!V183&gt;0,T183-Components!V183,T183*(1+EarningsRate))</f>
        <v>69125.375745791462</v>
      </c>
      <c r="V183" s="29">
        <f>'FF Deposit'!V183+IF(Components!W183&gt;0,U183-Components!W183,U183*(1+EarningsRate))</f>
        <v>74256.95970102823</v>
      </c>
      <c r="W183" s="29">
        <f>'FF Deposit'!W183+IF(Components!X183&gt;0,V183-Components!X183,V183*(1+EarningsRate))</f>
        <v>79496.306919324968</v>
      </c>
      <c r="X183" s="29">
        <f>'FF Deposit'!X183+IF(Components!Y183&gt;0,W183-Components!Y183,W183*(1+EarningsRate))</f>
        <v>84845.680429205939</v>
      </c>
      <c r="Y183" s="29">
        <f>'FF Deposit'!Y183+IF(Components!Z183&gt;0,X183-Components!Z183,X183*(1+EarningsRate))</f>
        <v>90307.39078279442</v>
      </c>
      <c r="Z183" s="29">
        <f>'FF Deposit'!Z183+IF(Components!AA183&gt;0,Y183-Components!AA183,Y183*(1+EarningsRate))</f>
        <v>95883.797053808259</v>
      </c>
      <c r="AA183" s="29">
        <f>'FF Deposit'!AA183+IF(Components!AB183&gt;0,Z183-Components!AB183,Z183*(1+EarningsRate))</f>
        <v>101577.30785651338</v>
      </c>
      <c r="AB183" s="29">
        <f>'FF Deposit'!AB183+IF(Components!AC183&gt;0,AA183-Components!AC183,AA183*(1+EarningsRate))</f>
        <v>107390.3823860753</v>
      </c>
      <c r="AC183" s="29">
        <f>'FF Deposit'!AC183+IF(Components!AD183&gt;0,AB183-Components!AD183,AB183*(1+EarningsRate))</f>
        <v>113325.53148075803</v>
      </c>
      <c r="AD183" s="29">
        <f>'FF Deposit'!AD183+IF(Components!AE183&gt;0,AC183-Components!AE183,AC183*(1+EarningsRate))</f>
        <v>119385.3187064291</v>
      </c>
      <c r="AE183" s="29">
        <f>'FF Deposit'!AE183+IF(Components!AF183&gt;0,AD183-Components!AF183,AD183*(1+EarningsRate))</f>
        <v>8694.9446021345102</v>
      </c>
      <c r="AF183" s="29">
        <f>'FF Deposit'!AF183+IF(Components!AG183&gt;0,AE183-Components!AG183,AE183*(1+EarningsRate))</f>
        <v>17574.164334484747</v>
      </c>
      <c r="AG183" s="29">
        <f>'FF Deposit'!AG183+IF(Components!AH183&gt;0,AF183-Components!AH183,AF183*(1+EarningsRate))</f>
        <v>26639.847681214338</v>
      </c>
      <c r="AH183" s="29">
        <f>'FF Deposit'!AH183+IF(Components!AI183&gt;0,AG183-Components!AI183,AG183*(1+EarningsRate))</f>
        <v>35895.91037822525</v>
      </c>
      <c r="AI183" s="29">
        <f>'FF Deposit'!AI183+IF(Components!AJ183&gt;0,AH183-Components!AJ183,AH183*(1+EarningsRate))</f>
        <v>45346.350391873391</v>
      </c>
      <c r="AJ183" s="29">
        <f>'FF Deposit'!AJ183+IF(Components!AK183&gt;0,AI183-Components!AK183,AI183*(1+EarningsRate))</f>
        <v>54995.249645808144</v>
      </c>
      <c r="AK183" s="29">
        <f>'FF Deposit'!AK183+IF(Components!AL183&gt;0,AJ183-Components!AL183,AJ183*(1+EarningsRate))</f>
        <v>64846.775784075522</v>
      </c>
      <c r="AL183" s="29">
        <f>'FF Deposit'!AL183+IF(Components!AM183&gt;0,AK183-Components!AM183,AK183*(1+EarningsRate))</f>
        <v>74905.183971246515</v>
      </c>
      <c r="AM183" s="29">
        <f>'FF Deposit'!AM183+IF(Components!AN183&gt;0,AL183-Components!AN183,AL183*(1+EarningsRate))</f>
        <v>85174.818730348095</v>
      </c>
      <c r="AN183" s="29">
        <f>'FF Deposit'!AN183+IF(Components!AO183&gt;0,AM183-Components!AO183,AM183*(1+EarningsRate))</f>
        <v>95660.115819390805</v>
      </c>
      <c r="AO183" s="29">
        <f>'FF Deposit'!AO183+IF(Components!AP183&gt;0,AN183-Components!AP183,AN183*(1+EarningsRate))</f>
        <v>106365.60414730341</v>
      </c>
      <c r="AP183" s="53"/>
    </row>
    <row r="184" spans="1:42" s="1" customFormat="1">
      <c r="A184" s="220" t="str">
        <f>Components!B184</f>
        <v>Maintenance Bldg</v>
      </c>
      <c r="B184" s="220" t="str">
        <f>Components!C184</f>
        <v xml:space="preserve">Siding, Shop, vinyl </v>
      </c>
      <c r="C184" s="211"/>
      <c r="D184" s="211"/>
      <c r="E184" s="82">
        <f>AnalysisYear-Components!I184-Components!J184</f>
        <v>29</v>
      </c>
      <c r="F184" s="82">
        <f>IF(H184&lt;0,Components!K184-MOD(AnalysisYear-Components!I184-Components!J184,Components!K184),AnalysisYear-Components!I184-Components!J184)</f>
        <v>29</v>
      </c>
      <c r="G184" s="11">
        <f>ROUND(Components!H184*IF(H184&lt;0,((1+InflationRate)^F184),((1+InflationRate)^H184)),0)</f>
        <v>32792</v>
      </c>
      <c r="H184" s="82">
        <f>IF(E184&gt;=0,Components!K184-E184,E184)</f>
        <v>1</v>
      </c>
      <c r="I184" s="82"/>
      <c r="J184" s="211"/>
      <c r="K184" s="29">
        <f>IF($H184&gt;0,FV(EarningsRate,F184,-'FF Deposit'!L184,1),Components!$H184)</f>
        <v>31336.334336869717</v>
      </c>
      <c r="L184" s="29">
        <f>'FF Deposit'!L184+IF(Components!M184&gt;0,K184-Components!M184,K184*(1+EarningsRate))</f>
        <v>32790.134598753335</v>
      </c>
      <c r="M184" s="29">
        <f>'FF Deposit'!M184+IF(Components!N184&gt;0,L184-Components!N184,L184*(1+EarningsRate))</f>
        <v>2231.6048768544761</v>
      </c>
      <c r="N184" s="29">
        <f>'FF Deposit'!N184+IF(Components!O184&gt;0,M184-Components!O184,M184*(1+EarningsRate))</f>
        <v>4511.9388573695614</v>
      </c>
      <c r="O184" s="29">
        <f>'FF Deposit'!O184+IF(Components!P184&gt;0,N184-Components!P184,N184*(1+EarningsRate))</f>
        <v>6840.1598514754633</v>
      </c>
      <c r="P184" s="29">
        <f>'FF Deposit'!P184+IF(Components!Q184&gt;0,O184-Components!Q184,O184*(1+EarningsRate))</f>
        <v>9217.2734864575887</v>
      </c>
      <c r="Q184" s="29">
        <f>'FF Deposit'!Q184+IF(Components!R184&gt;0,P184-Components!R184,P184*(1+EarningsRate))</f>
        <v>11644.306507774338</v>
      </c>
      <c r="R184" s="29">
        <f>'FF Deposit'!R184+IF(Components!S184&gt;0,Q184-Components!S184,Q184*(1+EarningsRate))</f>
        <v>14122.30722253874</v>
      </c>
      <c r="S184" s="29">
        <f>'FF Deposit'!S184+IF(Components!T184&gt;0,R184-Components!T184,R184*(1+EarningsRate))</f>
        <v>16652.345952313193</v>
      </c>
      <c r="T184" s="29">
        <f>'FF Deposit'!T184+IF(Components!U184&gt;0,S184-Components!U184,S184*(1+EarningsRate))</f>
        <v>19235.51549541291</v>
      </c>
      <c r="U184" s="29">
        <f>'FF Deposit'!U184+IF(Components!V184&gt;0,T184-Components!V184,T184*(1+EarningsRate))</f>
        <v>21872.931598917719</v>
      </c>
      <c r="V184" s="29">
        <f>'FF Deposit'!V184+IF(Components!W184&gt;0,U184-Components!W184,U184*(1+EarningsRate))</f>
        <v>24565.73344059613</v>
      </c>
      <c r="W184" s="29">
        <f>'FF Deposit'!W184+IF(Components!X184&gt;0,V184-Components!X184,V184*(1+EarningsRate))</f>
        <v>27315.084120949788</v>
      </c>
      <c r="X184" s="29">
        <f>'FF Deposit'!X184+IF(Components!Y184&gt;0,W184-Components!Y184,W184*(1+EarningsRate))</f>
        <v>30122.171165590873</v>
      </c>
      <c r="Y184" s="29">
        <f>'FF Deposit'!Y184+IF(Components!Z184&gt;0,X184-Components!Z184,X184*(1+EarningsRate))</f>
        <v>32988.207038169421</v>
      </c>
      <c r="Z184" s="29">
        <f>'FF Deposit'!Z184+IF(Components!AA184&gt;0,Y184-Components!AA184,Y184*(1+EarningsRate))</f>
        <v>35914.429664072122</v>
      </c>
      <c r="AA184" s="29">
        <f>'FF Deposit'!AA184+IF(Components!AB184&gt;0,Z184-Components!AB184,Z184*(1+EarningsRate))</f>
        <v>38902.102965118778</v>
      </c>
      <c r="AB184" s="29">
        <f>'FF Deposit'!AB184+IF(Components!AC184&gt;0,AA184-Components!AC184,AA184*(1+EarningsRate))</f>
        <v>41952.517405487415</v>
      </c>
      <c r="AC184" s="29">
        <f>'FF Deposit'!AC184+IF(Components!AD184&gt;0,AB184-Components!AD184,AB184*(1+EarningsRate))</f>
        <v>45066.990549103793</v>
      </c>
      <c r="AD184" s="29">
        <f>'FF Deposit'!AD184+IF(Components!AE184&gt;0,AC184-Components!AE184,AC184*(1+EarningsRate))</f>
        <v>48246.867628736116</v>
      </c>
      <c r="AE184" s="29">
        <f>'FF Deposit'!AE184+IF(Components!AF184&gt;0,AD184-Components!AF184,AD184*(1+EarningsRate))</f>
        <v>51493.522127040713</v>
      </c>
      <c r="AF184" s="29">
        <f>'FF Deposit'!AF184+IF(Components!AG184&gt;0,AE184-Components!AG184,AE184*(1+EarningsRate))</f>
        <v>54808.356369809706</v>
      </c>
      <c r="AG184" s="29">
        <f>'FF Deposit'!AG184+IF(Components!AH184&gt;0,AF184-Components!AH184,AF184*(1+EarningsRate))</f>
        <v>58192.80213167685</v>
      </c>
      <c r="AH184" s="29">
        <f>'FF Deposit'!AH184+IF(Components!AI184&gt;0,AG184-Components!AI184,AG184*(1+EarningsRate))</f>
        <v>61648.321254543203</v>
      </c>
      <c r="AI184" s="29">
        <f>'FF Deposit'!AI184+IF(Components!AJ184&gt;0,AH184-Components!AJ184,AH184*(1+EarningsRate))</f>
        <v>65176.406278989751</v>
      </c>
      <c r="AJ184" s="29">
        <f>'FF Deposit'!AJ184+IF(Components!AK184&gt;0,AI184-Components!AK184,AI184*(1+EarningsRate))</f>
        <v>68778.581088949679</v>
      </c>
      <c r="AK184" s="29">
        <f>'FF Deposit'!AK184+IF(Components!AL184&gt;0,AJ184-Components!AL184,AJ184*(1+EarningsRate))</f>
        <v>72456.401569918758</v>
      </c>
      <c r="AL184" s="29">
        <f>'FF Deposit'!AL184+IF(Components!AM184&gt;0,AK184-Components!AM184,AK184*(1+EarningsRate))</f>
        <v>76211.45628098819</v>
      </c>
      <c r="AM184" s="29">
        <f>'FF Deposit'!AM184+IF(Components!AN184&gt;0,AL184-Components!AN184,AL184*(1+EarningsRate))</f>
        <v>80045.367140990085</v>
      </c>
      <c r="AN184" s="29">
        <f>'FF Deposit'!AN184+IF(Components!AO184&gt;0,AM184-Components!AO184,AM184*(1+EarningsRate))</f>
        <v>83959.790129052009</v>
      </c>
      <c r="AO184" s="29">
        <f>'FF Deposit'!AO184+IF(Components!AP184&gt;0,AN184-Components!AP184,AN184*(1+EarningsRate))</f>
        <v>87956.415999863239</v>
      </c>
      <c r="AP184" s="53"/>
    </row>
    <row r="185" spans="1:42" s="1" customFormat="1">
      <c r="A185" s="220" t="str">
        <f>Components!B185</f>
        <v>Maintenance Bldg</v>
      </c>
      <c r="B185" s="220" t="str">
        <f>Components!C185</f>
        <v>Vehicle hoist  1992</v>
      </c>
      <c r="C185" s="211"/>
      <c r="D185" s="211"/>
      <c r="E185" s="82">
        <f>AnalysisYear-Components!I185-Components!J185</f>
        <v>25</v>
      </c>
      <c r="F185" s="82">
        <f>IF(H185&lt;0,Components!K185-MOD(AnalysisYear-Components!I185-Components!J185,Components!K185),AnalysisYear-Components!I185-Components!J185)</f>
        <v>25</v>
      </c>
      <c r="G185" s="11">
        <f>ROUND(Components!H185*IF(H185&lt;0,((1+InflationRate)^F185),((1+InflationRate)^H185)),0)</f>
        <v>9496</v>
      </c>
      <c r="H185" s="82">
        <f>IF(E185&gt;=0,Components!K185-E185,E185)</f>
        <v>0</v>
      </c>
      <c r="I185" s="82"/>
      <c r="J185" s="211"/>
      <c r="K185" s="29">
        <f>IF($H185&gt;0,FV(EarningsRate,F185,-'FF Deposit'!L185,1),Components!$H185)</f>
        <v>9495.9973960113803</v>
      </c>
      <c r="L185" s="29">
        <f>'FF Deposit'!L185+IF(Components!M185&gt;0,K185-Components!M185,K185*(1+EarningsRate))</f>
        <v>691.72396176492612</v>
      </c>
      <c r="M185" s="29">
        <f>'FF Deposit'!M185+IF(Components!N185&gt;0,L185-Components!N185,L185*(1+EarningsRate))</f>
        <v>1397.9767307155353</v>
      </c>
      <c r="N185" s="29">
        <f>'FF Deposit'!N185+IF(Components!O185&gt;0,M185-Components!O185,M185*(1+EarningsRate))</f>
        <v>2119.0608078141072</v>
      </c>
      <c r="O185" s="29">
        <f>'FF Deposit'!O185+IF(Components!P185&gt;0,N185-Components!P185,N185*(1+EarningsRate))</f>
        <v>2855.287650531749</v>
      </c>
      <c r="P185" s="29">
        <f>'FF Deposit'!P185+IF(Components!Q185&gt;0,O185-Components!Q185,O185*(1+EarningsRate))</f>
        <v>3606.9752569464613</v>
      </c>
      <c r="Q185" s="29">
        <f>'FF Deposit'!Q185+IF(Components!R185&gt;0,P185-Components!R185,P185*(1+EarningsRate))</f>
        <v>4374.4483030958827</v>
      </c>
      <c r="R185" s="29">
        <f>'FF Deposit'!R185+IF(Components!S185&gt;0,Q185-Components!S185,Q185*(1+EarningsRate))</f>
        <v>5158.0382832144423</v>
      </c>
      <c r="S185" s="29">
        <f>'FF Deposit'!S185+IF(Components!T185&gt;0,R185-Components!T185,R185*(1+EarningsRate))</f>
        <v>5958.0836529154913</v>
      </c>
      <c r="T185" s="29">
        <f>'FF Deposit'!T185+IF(Components!U185&gt;0,S185-Components!U185,S185*(1+EarningsRate))</f>
        <v>6774.9299753802625</v>
      </c>
      <c r="U185" s="29">
        <f>'FF Deposit'!U185+IF(Components!V185&gt;0,T185-Components!V185,T185*(1+EarningsRate))</f>
        <v>7608.9300706167924</v>
      </c>
      <c r="V185" s="29">
        <f>'FF Deposit'!V185+IF(Components!W185&gt;0,U185-Components!W185,U185*(1+EarningsRate))</f>
        <v>8460.4441678532894</v>
      </c>
      <c r="W185" s="29">
        <f>'FF Deposit'!W185+IF(Components!X185&gt;0,V185-Components!X185,V185*(1+EarningsRate))</f>
        <v>9329.8400611317538</v>
      </c>
      <c r="X185" s="29">
        <f>'FF Deposit'!X185+IF(Components!Y185&gt;0,W185-Components!Y185,W185*(1+EarningsRate))</f>
        <v>10217.493268169066</v>
      </c>
      <c r="Y185" s="29">
        <f>'FF Deposit'!Y185+IF(Components!Z185&gt;0,X185-Components!Z185,X185*(1+EarningsRate))</f>
        <v>11123.787192554162</v>
      </c>
      <c r="Z185" s="29">
        <f>'FF Deposit'!Z185+IF(Components!AA185&gt;0,Y185-Components!AA185,Y185*(1+EarningsRate))</f>
        <v>12049.113289351344</v>
      </c>
      <c r="AA185" s="29">
        <f>'FF Deposit'!AA185+IF(Components!AB185&gt;0,Z185-Components!AB185,Z185*(1+EarningsRate))</f>
        <v>12993.871234181268</v>
      </c>
      <c r="AB185" s="29">
        <f>'FF Deposit'!AB185+IF(Components!AC185&gt;0,AA185-Components!AC185,AA185*(1+EarningsRate))</f>
        <v>13958.469095852619</v>
      </c>
      <c r="AC185" s="29">
        <f>'FF Deposit'!AC185+IF(Components!AD185&gt;0,AB185-Components!AD185,AB185*(1+EarningsRate))</f>
        <v>14943.323512619068</v>
      </c>
      <c r="AD185" s="29">
        <f>'FF Deposit'!AD185+IF(Components!AE185&gt;0,AC185-Components!AE185,AC185*(1+EarningsRate))</f>
        <v>15948.859872137613</v>
      </c>
      <c r="AE185" s="29">
        <f>'FF Deposit'!AE185+IF(Components!AF185&gt;0,AD185-Components!AF185,AD185*(1+EarningsRate))</f>
        <v>16975.512495206047</v>
      </c>
      <c r="AF185" s="29">
        <f>'FF Deposit'!AF185+IF(Components!AG185&gt;0,AE185-Components!AG185,AE185*(1+EarningsRate))</f>
        <v>18023.72482335892</v>
      </c>
      <c r="AG185" s="29">
        <f>'FF Deposit'!AG185+IF(Components!AH185&gt;0,AF185-Components!AH185,AF185*(1+EarningsRate))</f>
        <v>19093.949610403</v>
      </c>
      <c r="AH185" s="29">
        <f>'FF Deposit'!AH185+IF(Components!AI185&gt;0,AG185-Components!AI185,AG185*(1+EarningsRate))</f>
        <v>20186.649117975008</v>
      </c>
      <c r="AI185" s="29">
        <f>'FF Deposit'!AI185+IF(Components!AJ185&gt;0,AH185-Components!AJ185,AH185*(1+EarningsRate))</f>
        <v>21302.295315206029</v>
      </c>
      <c r="AJ185" s="29">
        <f>'FF Deposit'!AJ185+IF(Components!AK185&gt;0,AI185-Components!AK185,AI185*(1+EarningsRate))</f>
        <v>22441.370082578898</v>
      </c>
      <c r="AK185" s="29">
        <f>'FF Deposit'!AK185+IF(Components!AL185&gt;0,AJ185-Components!AL185,AJ185*(1+EarningsRate))</f>
        <v>1635.062148930554</v>
      </c>
      <c r="AL185" s="29">
        <f>'FF Deposit'!AL185+IF(Components!AM185&gt;0,AK185-Components!AM185,AK185*(1+EarningsRate))</f>
        <v>3304.0905204097512</v>
      </c>
      <c r="AM185" s="29">
        <f>'FF Deposit'!AM185+IF(Components!AN185&gt;0,AL185-Components!AN185,AL185*(1+EarningsRate))</f>
        <v>5008.1684876900108</v>
      </c>
      <c r="AN185" s="29">
        <f>'FF Deposit'!AN185+IF(Components!AO185&gt;0,AM185-Components!AO185,AM185*(1+EarningsRate))</f>
        <v>6748.0320922831561</v>
      </c>
      <c r="AO185" s="29">
        <f>'FF Deposit'!AO185+IF(Components!AP185&gt;0,AN185-Components!AP185,AN185*(1+EarningsRate))</f>
        <v>8524.4328325727583</v>
      </c>
      <c r="AP185" s="53"/>
    </row>
    <row r="186" spans="1:42" s="1" customFormat="1">
      <c r="A186" s="220" t="str">
        <f>Components!B186</f>
        <v>Sealcoat</v>
      </c>
      <c r="B186" s="220" t="str">
        <f>Components!C186</f>
        <v>Linvale Place</v>
      </c>
      <c r="C186" s="211"/>
      <c r="D186" s="211"/>
      <c r="E186" s="82">
        <f>AnalysisYear-Components!I186-Components!J186</f>
        <v>6</v>
      </c>
      <c r="F186" s="82">
        <f>IF(H186&lt;0,Components!K186-MOD(AnalysisYear-Components!I186-Components!J186,Components!K186),AnalysisYear-Components!I186-Components!J186)</f>
        <v>6</v>
      </c>
      <c r="G186" s="11">
        <f>ROUND(Components!H186*IF(H186&lt;0,((1+InflationRate)^F186),((1+InflationRate)^H186)),0)</f>
        <v>36698</v>
      </c>
      <c r="H186" s="82">
        <f>IF(E186&gt;=0,Components!K186-E186,E186)</f>
        <v>0</v>
      </c>
      <c r="I186" s="82"/>
      <c r="J186" s="211"/>
      <c r="K186" s="29">
        <f>IF($H186&gt;0,FV(EarningsRate,F186,-'FF Deposit'!L186,1),Components!$H186)</f>
        <v>36697.994999999995</v>
      </c>
      <c r="L186" s="29">
        <f>'FF Deposit'!L186+IF(Components!M186&gt;0,K186-Components!M186,K186*(1+EarningsRate))</f>
        <v>7133.3752479670275</v>
      </c>
      <c r="M186" s="29">
        <f>'FF Deposit'!M186+IF(Components!N186&gt;0,L186-Components!N186,L186*(1+EarningsRate))</f>
        <v>14416.556376141367</v>
      </c>
      <c r="N186" s="29">
        <f>'FF Deposit'!N186+IF(Components!O186&gt;0,M186-Components!O186,M186*(1+EarningsRate))</f>
        <v>21852.684308007367</v>
      </c>
      <c r="O186" s="29">
        <f>'FF Deposit'!O186+IF(Components!P186&gt;0,N186-Components!P186,N186*(1+EarningsRate))</f>
        <v>29444.970926442555</v>
      </c>
      <c r="P186" s="29">
        <f>'FF Deposit'!P186+IF(Components!Q186&gt;0,O186-Components!Q186,O186*(1+EarningsRate))</f>
        <v>37196.69556386488</v>
      </c>
      <c r="Q186" s="29">
        <f>'FF Deposit'!Q186+IF(Components!R186&gt;0,P186-Components!R186,P186*(1+EarningsRate))</f>
        <v>45111.206418673071</v>
      </c>
      <c r="R186" s="29">
        <f>'FF Deposit'!R186+IF(Components!S186&gt;0,Q186-Components!S186,Q186*(1+EarningsRate))</f>
        <v>8768.9108812061986</v>
      </c>
      <c r="S186" s="29">
        <f>'FF Deposit'!S186+IF(Components!T186&gt;0,R186-Components!T186,R186*(1+EarningsRate))</f>
        <v>17721.762472244656</v>
      </c>
      <c r="T186" s="29">
        <f>'FF Deposit'!T186+IF(Components!U186&gt;0,S186-Components!U186,S186*(1+EarningsRate))</f>
        <v>26862.623946694919</v>
      </c>
      <c r="U186" s="29">
        <f>'FF Deposit'!U186+IF(Components!V186&gt;0,T186-Components!V186,T186*(1+EarningsRate))</f>
        <v>36195.443512108635</v>
      </c>
      <c r="V186" s="29">
        <f>'FF Deposit'!V186+IF(Components!W186&gt;0,U186-Components!W186,U186*(1+EarningsRate))</f>
        <v>45724.252288396041</v>
      </c>
      <c r="W186" s="29">
        <f>'FF Deposit'!W186+IF(Components!X186&gt;0,V186-Components!X186,V186*(1+EarningsRate))</f>
        <v>55453.166048985477</v>
      </c>
      <c r="X186" s="29">
        <f>'FF Deposit'!X186+IF(Components!Y186&gt;0,W186-Components!Y186,W186*(1+EarningsRate))</f>
        <v>10779.154955479447</v>
      </c>
      <c r="Y186" s="29">
        <f>'FF Deposit'!Y186+IF(Components!Z186&gt;0,X186-Components!Z186,X186*(1+EarningsRate))</f>
        <v>21784.506116038487</v>
      </c>
      <c r="Z186" s="29">
        <f>'FF Deposit'!Z186+IF(Components!AA186&gt;0,Y186-Components!AA186,Y186*(1+EarningsRate))</f>
        <v>33020.969650969259</v>
      </c>
      <c r="AA186" s="29">
        <f>'FF Deposit'!AA186+IF(Components!AB186&gt;0,Z186-Components!AB186,Z186*(1+EarningsRate))</f>
        <v>44493.398920133579</v>
      </c>
      <c r="AB186" s="29">
        <f>'FF Deposit'!AB186+IF(Components!AC186&gt;0,AA186-Components!AC186,AA186*(1+EarningsRate))</f>
        <v>56206.749203950349</v>
      </c>
      <c r="AC186" s="29">
        <f>'FF Deposit'!AC186+IF(Components!AD186&gt;0,AB186-Components!AD186,AB186*(1+EarningsRate))</f>
        <v>68166.079843727261</v>
      </c>
      <c r="AD186" s="29">
        <f>'FF Deposit'!AD186+IF(Components!AE186&gt;0,AC186-Components!AE186,AC186*(1+EarningsRate))</f>
        <v>13250.2296606906</v>
      </c>
      <c r="AE186" s="29">
        <f>'FF Deposit'!AE186+IF(Components!AF186&gt;0,AD186-Components!AF186,AD186*(1+EarningsRate))</f>
        <v>26778.634300528443</v>
      </c>
      <c r="AF186" s="29">
        <f>'FF Deposit'!AF186+IF(Components!AG186&gt;0,AE186-Components!AG186,AE186*(1+EarningsRate))</f>
        <v>40591.135437802877</v>
      </c>
      <c r="AG186" s="29">
        <f>'FF Deposit'!AG186+IF(Components!AH186&gt;0,AF186-Components!AH186,AF186*(1+EarningsRate))</f>
        <v>54693.699098960074</v>
      </c>
      <c r="AH186" s="29">
        <f>'FF Deposit'!AH186+IF(Components!AI186&gt;0,AG186-Components!AI186,AG186*(1+EarningsRate))</f>
        <v>69092.416597001575</v>
      </c>
      <c r="AI186" s="29">
        <f>'FF Deposit'!AI186+IF(Components!AJ186&gt;0,AH186-Components!AJ186,AH186*(1+EarningsRate))</f>
        <v>83793.507162501948</v>
      </c>
      <c r="AJ186" s="29">
        <f>'FF Deposit'!AJ186+IF(Components!AK186&gt;0,AI186-Components!AK186,AI186*(1+EarningsRate))</f>
        <v>98803.320629877824</v>
      </c>
      <c r="AK186" s="29">
        <f>'FF Deposit'!AK186+IF(Components!AL186&gt;0,AJ186-Components!AL186,AJ186*(1+EarningsRate))</f>
        <v>114128.3401800686</v>
      </c>
      <c r="AL186" s="29">
        <f>'FF Deposit'!AL186+IF(Components!AM186&gt;0,AK186-Components!AM186,AK186*(1+EarningsRate))</f>
        <v>129775.18514081337</v>
      </c>
      <c r="AM186" s="29">
        <f>'FF Deposit'!AM186+IF(Components!AN186&gt;0,AL186-Components!AN186,AL186*(1+EarningsRate))</f>
        <v>145750.61384573375</v>
      </c>
      <c r="AN186" s="29">
        <f>'FF Deposit'!AN186+IF(Components!AO186&gt;0,AM186-Components!AO186,AM186*(1+EarningsRate))</f>
        <v>162061.52655345749</v>
      </c>
      <c r="AO186" s="29">
        <f>'FF Deposit'!AO186+IF(Components!AP186&gt;0,AN186-Components!AP186,AN186*(1+EarningsRate))</f>
        <v>178714.96842804342</v>
      </c>
      <c r="AP186" s="53"/>
    </row>
    <row r="187" spans="1:42" s="1" customFormat="1">
      <c r="A187" s="220" t="str">
        <f>Components!B187</f>
        <v>Sealcoat</v>
      </c>
      <c r="B187" s="220" t="str">
        <f>Components!C187</f>
        <v>Overflow Lot Across/216</v>
      </c>
      <c r="C187" s="211"/>
      <c r="D187" s="211"/>
      <c r="E187" s="82">
        <f>AnalysisYear-Components!I187-Components!J187</f>
        <v>2</v>
      </c>
      <c r="F187" s="82">
        <f>IF(H187&lt;0,Components!K187-MOD(AnalysisYear-Components!I187-Components!J187,Components!K187),AnalysisYear-Components!I187-Components!J187)</f>
        <v>2</v>
      </c>
      <c r="G187" s="11">
        <f>ROUND(Components!H187*IF(H187&lt;0,((1+InflationRate)^F187),((1+InflationRate)^H187)),0)</f>
        <v>10329</v>
      </c>
      <c r="H187" s="82">
        <f>IF(E187&gt;=0,Components!K187-E187,E187)</f>
        <v>4</v>
      </c>
      <c r="I187" s="82"/>
      <c r="J187" s="211"/>
      <c r="K187" s="29">
        <f>IF($H187&gt;0,FV(EarningsRate,F187,-'FF Deposit'!L187,1),Components!$H187)</f>
        <v>3299.8811442565684</v>
      </c>
      <c r="L187" s="29">
        <f>'FF Deposit'!L187+IF(Components!M187&gt;0,K187-Components!M187,K187*(1+EarningsRate))</f>
        <v>5002.4906647414682</v>
      </c>
      <c r="M187" s="29">
        <f>'FF Deposit'!M187+IF(Components!N187&gt;0,L187-Components!N187,L187*(1+EarningsRate))</f>
        <v>6740.8549851565504</v>
      </c>
      <c r="N187" s="29">
        <f>'FF Deposit'!N187+IF(Components!O187&gt;0,M187-Components!O187,M187*(1+EarningsRate))</f>
        <v>8515.7249563003497</v>
      </c>
      <c r="O187" s="29">
        <f>'FF Deposit'!O187+IF(Components!P187&gt;0,N187-Components!P187,N187*(1+EarningsRate))</f>
        <v>10327.867196838168</v>
      </c>
      <c r="P187" s="29">
        <f>'FF Deposit'!P187+IF(Components!Q187&gt;0,O187-Components!Q187,O187*(1+EarningsRate))</f>
        <v>2006.624692648606</v>
      </c>
      <c r="Q187" s="29">
        <f>'FF Deposit'!Q187+IF(Components!R187&gt;0,P187-Components!R187,P187*(1+EarningsRate))</f>
        <v>4056.5213070046648</v>
      </c>
      <c r="R187" s="29">
        <f>'FF Deposit'!R187+IF(Components!S187&gt;0,Q187-Components!S187,Q187*(1+EarningsRate))</f>
        <v>6149.4657502622013</v>
      </c>
      <c r="S187" s="29">
        <f>'FF Deposit'!S187+IF(Components!T187&gt;0,R187-Components!T187,R187*(1+EarningsRate))</f>
        <v>8286.3620268281447</v>
      </c>
      <c r="T187" s="29">
        <f>'FF Deposit'!T187+IF(Components!U187&gt;0,S187-Components!U187,S187*(1+EarningsRate))</f>
        <v>10468.133125201974</v>
      </c>
      <c r="U187" s="29">
        <f>'FF Deposit'!U187+IF(Components!V187&gt;0,T187-Components!V187,T187*(1+EarningsRate))</f>
        <v>12695.721416641652</v>
      </c>
      <c r="V187" s="29">
        <f>'FF Deposit'!V187+IF(Components!W187&gt;0,U187-Components!W187,U187*(1+EarningsRate))</f>
        <v>2466.7722370797528</v>
      </c>
      <c r="W187" s="29">
        <f>'FF Deposit'!W187+IF(Components!X187&gt;0,V187-Components!X187,V187*(1+EarningsRate))</f>
        <v>4986.6252744965277</v>
      </c>
      <c r="X187" s="29">
        <f>'FF Deposit'!X187+IF(Components!Y187&gt;0,W187-Components!Y187,W187*(1+EarningsRate))</f>
        <v>7559.3952256990551</v>
      </c>
      <c r="Y187" s="29">
        <f>'FF Deposit'!Y187+IF(Components!Z187&gt;0,X187-Components!Z187,X187*(1+EarningsRate))</f>
        <v>10186.193345876836</v>
      </c>
      <c r="Z187" s="29">
        <f>'FF Deposit'!Z187+IF(Components!AA187&gt;0,Y187-Components!AA187,Y187*(1+EarningsRate))</f>
        <v>12868.15422657835</v>
      </c>
      <c r="AA187" s="29">
        <f>'FF Deposit'!AA187+IF(Components!AB187&gt;0,Z187-Components!AB187,Z187*(1+EarningsRate))</f>
        <v>15606.436285774595</v>
      </c>
      <c r="AB187" s="29">
        <f>'FF Deposit'!AB187+IF(Components!AC187&gt;0,AA187-Components!AC187,AA187*(1+EarningsRate))</f>
        <v>3032.3291112765137</v>
      </c>
      <c r="AC187" s="29">
        <f>'FF Deposit'!AC187+IF(Components!AD187&gt;0,AB187-Components!AD187,AB187*(1+EarningsRate))</f>
        <v>6129.9008481152396</v>
      </c>
      <c r="AD187" s="29">
        <f>'FF Deposit'!AD187+IF(Components!AE187&gt;0,AC187-Components!AE187,AC187*(1+EarningsRate))</f>
        <v>9292.5215914275777</v>
      </c>
      <c r="AE187" s="29">
        <f>'FF Deposit'!AE187+IF(Components!AF187&gt;0,AD187-Components!AF187,AD187*(1+EarningsRate))</f>
        <v>12521.557370349474</v>
      </c>
      <c r="AF187" s="29">
        <f>'FF Deposit'!AF187+IF(Components!AG187&gt;0,AE187-Components!AG187,AE187*(1+EarningsRate))</f>
        <v>15818.402900628731</v>
      </c>
      <c r="AG187" s="29">
        <f>'FF Deposit'!AG187+IF(Components!AH187&gt;0,AF187-Components!AH187,AF187*(1+EarningsRate))</f>
        <v>19184.482187043854</v>
      </c>
      <c r="AH187" s="29">
        <f>'FF Deposit'!AH187+IF(Components!AI187&gt;0,AG187-Components!AI187,AG187*(1+EarningsRate))</f>
        <v>3727.06327641503</v>
      </c>
      <c r="AI187" s="29">
        <f>'FF Deposit'!AI187+IF(Components!AJ187&gt;0,AH187-Components!AJ187,AH187*(1+EarningsRate))</f>
        <v>7534.9126945909211</v>
      </c>
      <c r="AJ187" s="29">
        <f>'FF Deposit'!AJ187+IF(Components!AK187&gt;0,AI187-Components!AK187,AI187*(1+EarningsRate))</f>
        <v>11422.726950548506</v>
      </c>
      <c r="AK187" s="29">
        <f>'FF Deposit'!AK187+IF(Components!AL187&gt;0,AJ187-Components!AL187,AJ187*(1+EarningsRate))</f>
        <v>15392.185305881199</v>
      </c>
      <c r="AL187" s="29">
        <f>'FF Deposit'!AL187+IF(Components!AM187&gt;0,AK187-Components!AM187,AK187*(1+EarningsRate))</f>
        <v>19445.002286675881</v>
      </c>
      <c r="AM187" s="29">
        <f>'FF Deposit'!AM187+IF(Components!AN187&gt;0,AL187-Components!AN187,AL187*(1+EarningsRate))</f>
        <v>23582.928424067246</v>
      </c>
      <c r="AN187" s="29">
        <f>'FF Deposit'!AN187+IF(Components!AO187&gt;0,AM187-Components!AO187,AM187*(1+EarningsRate))</f>
        <v>27807.751010343833</v>
      </c>
      <c r="AO187" s="29">
        <f>'FF Deposit'!AO187+IF(Components!AP187&gt;0,AN187-Components!AP187,AN187*(1+EarningsRate))</f>
        <v>32121.294870932226</v>
      </c>
      <c r="AP187" s="53"/>
    </row>
    <row r="188" spans="1:42" s="1" customFormat="1">
      <c r="A188" s="220" t="str">
        <f>Components!B188</f>
        <v>Sealcoat</v>
      </c>
      <c r="B188" s="220" t="str">
        <f>Components!C188</f>
        <v>Parking Lot - 250</v>
      </c>
      <c r="C188" s="211"/>
      <c r="D188" s="211"/>
      <c r="E188" s="82">
        <f>AnalysisYear-Components!I188-Components!J188</f>
        <v>1</v>
      </c>
      <c r="F188" s="82">
        <f>IF(H188&lt;0,Components!K188-MOD(AnalysisYear-Components!I188-Components!J188,Components!K188),AnalysisYear-Components!I188-Components!J188)</f>
        <v>1</v>
      </c>
      <c r="G188" s="11">
        <f>ROUND(Components!H188*IF(H188&lt;0,((1+InflationRate)^F188),((1+InflationRate)^H188)),0)</f>
        <v>17399</v>
      </c>
      <c r="H188" s="82">
        <f>IF(E188&gt;=0,Components!K188-E188,E188)</f>
        <v>5</v>
      </c>
      <c r="I188" s="82"/>
      <c r="J188" s="211"/>
      <c r="K188" s="29">
        <f>IF($H188&gt;0,FV(EarningsRate,F188,-'FF Deposit'!L188,1),Components!$H188)</f>
        <v>2750.261386901861</v>
      </c>
      <c r="L188" s="29">
        <f>'FF Deposit'!L188+IF(Components!M188&gt;0,K188-Components!M188,K188*(1+EarningsRate))</f>
        <v>5559.2992629286728</v>
      </c>
      <c r="M188" s="29">
        <f>'FF Deposit'!M188+IF(Components!N188&gt;0,L188-Components!N188,L188*(1+EarningsRate))</f>
        <v>8427.3269343520478</v>
      </c>
      <c r="N188" s="29">
        <f>'FF Deposit'!N188+IF(Components!O188&gt;0,M188-Components!O188,M188*(1+EarningsRate))</f>
        <v>11355.583186875314</v>
      </c>
      <c r="O188" s="29">
        <f>'FF Deposit'!O188+IF(Components!P188&gt;0,N188-Components!P188,N188*(1+EarningsRate))</f>
        <v>14345.332820701567</v>
      </c>
      <c r="P188" s="29">
        <f>'FF Deposit'!P188+IF(Components!Q188&gt;0,O188-Components!Q188,O188*(1+EarningsRate))</f>
        <v>17397.867196838171</v>
      </c>
      <c r="Q188" s="29">
        <f>'FF Deposit'!Q188+IF(Components!R188&gt;0,P188-Components!R188,P188*(1+EarningsRate))</f>
        <v>3380.8957252151504</v>
      </c>
      <c r="R188" s="29">
        <f>'FF Deposit'!R188+IF(Components!S188&gt;0,Q188-Components!S188,Q188*(1+EarningsRate))</f>
        <v>6833.9230638216468</v>
      </c>
      <c r="S188" s="29">
        <f>'FF Deposit'!S188+IF(Components!T188&gt;0,R188-Components!T188,R188*(1+EarningsRate))</f>
        <v>10359.46397653888</v>
      </c>
      <c r="T188" s="29">
        <f>'FF Deposit'!T188+IF(Components!U188&gt;0,S188-Components!U188,S188*(1+EarningsRate))</f>
        <v>13959.041248423175</v>
      </c>
      <c r="U188" s="29">
        <f>'FF Deposit'!U188+IF(Components!V188&gt;0,T188-Components!V188,T188*(1+EarningsRate))</f>
        <v>17634.209643017039</v>
      </c>
      <c r="V188" s="29">
        <f>'FF Deposit'!V188+IF(Components!W188&gt;0,U188-Components!W188,U188*(1+EarningsRate))</f>
        <v>21386.556573897375</v>
      </c>
      <c r="W188" s="29">
        <f>'FF Deposit'!W188+IF(Components!X188&gt;0,V188-Components!X188,V188*(1+EarningsRate))</f>
        <v>4155.9694231948524</v>
      </c>
      <c r="X188" s="29">
        <f>'FF Deposit'!X188+IF(Components!Y188&gt;0,W188-Components!Y188,W188*(1+EarningsRate))</f>
        <v>8400.6576303794209</v>
      </c>
      <c r="Y188" s="29">
        <f>'FF Deposit'!Y188+IF(Components!Z188&gt;0,X188-Components!Z188,X188*(1+EarningsRate))</f>
        <v>12734.484289914866</v>
      </c>
      <c r="Z188" s="29">
        <f>'FF Deposit'!Z188+IF(Components!AA188&gt;0,Y188-Components!AA188,Y188*(1+EarningsRate))</f>
        <v>17159.321309300554</v>
      </c>
      <c r="AA188" s="29">
        <f>'FF Deposit'!AA188+IF(Components!AB188&gt;0,Z188-Components!AB188,Z188*(1+EarningsRate))</f>
        <v>21677.079906093342</v>
      </c>
      <c r="AB188" s="29">
        <f>'FF Deposit'!AB188+IF(Components!AC188&gt;0,AA188-Components!AC188,AA188*(1+EarningsRate))</f>
        <v>26289.711433418779</v>
      </c>
      <c r="AC188" s="29">
        <f>'FF Deposit'!AC188+IF(Components!AD188&gt;0,AB188-Components!AD188,AB188*(1+EarningsRate))</f>
        <v>5109.1724966729407</v>
      </c>
      <c r="AD188" s="29">
        <f>'FF Deposit'!AD188+IF(Components!AE188&gt;0,AC188-Components!AE188,AC188*(1+EarningsRate))</f>
        <v>10326.926182357234</v>
      </c>
      <c r="AE188" s="29">
        <f>'FF Deposit'!AE188+IF(Components!AF188&gt;0,AD188-Components!AF188,AD188*(1+EarningsRate))</f>
        <v>15654.252695440897</v>
      </c>
      <c r="AF188" s="29">
        <f>'FF Deposit'!AF188+IF(Components!AG188&gt;0,AE188-Components!AG188,AE188*(1+EarningsRate))</f>
        <v>21093.453065299316</v>
      </c>
      <c r="AG188" s="29">
        <f>'FF Deposit'!AG188+IF(Components!AH188&gt;0,AF188-Components!AH188,AF188*(1+EarningsRate))</f>
        <v>26646.876642924763</v>
      </c>
      <c r="AH188" s="29">
        <f>'FF Deposit'!AH188+IF(Components!AI188&gt;0,AG188-Components!AI188,AG188*(1+EarningsRate))</f>
        <v>32316.922115680343</v>
      </c>
      <c r="AI188" s="29">
        <f>'FF Deposit'!AI188+IF(Components!AJ188&gt;0,AH188-Components!AJ188,AH188*(1+EarningsRate))</f>
        <v>6280.9152175877643</v>
      </c>
      <c r="AJ188" s="29">
        <f>'FF Deposit'!AJ188+IF(Components!AK188&gt;0,AI188-Components!AK188,AI188*(1+EarningsRate))</f>
        <v>12694.807539064528</v>
      </c>
      <c r="AK188" s="29">
        <f>'FF Deposit'!AK188+IF(Components!AL188&gt;0,AJ188-Components!AL188,AJ188*(1+EarningsRate))</f>
        <v>19243.391599292303</v>
      </c>
      <c r="AL188" s="29">
        <f>'FF Deposit'!AL188+IF(Components!AM188&gt;0,AK188-Components!AM188,AK188*(1+EarningsRate))</f>
        <v>25929.49592478486</v>
      </c>
      <c r="AM188" s="29">
        <f>'FF Deposit'!AM188+IF(Components!AN188&gt;0,AL188-Components!AN188,AL188*(1+EarningsRate))</f>
        <v>32756.008441112761</v>
      </c>
      <c r="AN188" s="29">
        <f>'FF Deposit'!AN188+IF(Components!AO188&gt;0,AM188-Components!AO188,AM188*(1+EarningsRate))</f>
        <v>39725.877720283548</v>
      </c>
      <c r="AO188" s="29">
        <f>'FF Deposit'!AO188+IF(Components!AP188&gt;0,AN188-Components!AP188,AN188*(1+EarningsRate))</f>
        <v>46842.114254316919</v>
      </c>
      <c r="AP188" s="53"/>
    </row>
    <row r="189" spans="1:42" s="1" customFormat="1">
      <c r="A189" s="220" t="str">
        <f>Components!B189</f>
        <v>Sealcoat</v>
      </c>
      <c r="B189" s="220" t="str">
        <f>Components!C189</f>
        <v>Parking Lot - Club</v>
      </c>
      <c r="C189" s="211"/>
      <c r="D189" s="211"/>
      <c r="E189" s="82">
        <f>AnalysisYear-Components!I189-Components!J189</f>
        <v>2</v>
      </c>
      <c r="F189" s="82">
        <f>IF(H189&lt;0,Components!K189-MOD(AnalysisYear-Components!I189-Components!J189,Components!K189),AnalysisYear-Components!I189-Components!J189)</f>
        <v>2</v>
      </c>
      <c r="G189" s="11">
        <f>ROUND(Components!H189*IF(H189&lt;0,((1+InflationRate)^F189),((1+InflationRate)^H189)),0)</f>
        <v>18154</v>
      </c>
      <c r="H189" s="82">
        <f>IF(E189&gt;=0,Components!K189-E189,E189)</f>
        <v>4</v>
      </c>
      <c r="I189" s="82"/>
      <c r="J189" s="211"/>
      <c r="K189" s="29">
        <f>IF($H189&gt;0,FV(EarningsRate,F189,-'FF Deposit'!L189,1),Components!$H189)</f>
        <v>5800.5808300569997</v>
      </c>
      <c r="L189" s="29">
        <f>'FF Deposit'!L189+IF(Components!M189&gt;0,K189-Components!M189,K189*(1+EarningsRate))</f>
        <v>8793.0626321675809</v>
      </c>
      <c r="M189" s="29">
        <f>'FF Deposit'!M189+IF(Components!N189&gt;0,L189-Components!N189,L189*(1+EarningsRate))</f>
        <v>11848.386552122483</v>
      </c>
      <c r="N189" s="29">
        <f>'FF Deposit'!N189+IF(Components!O189&gt;0,M189-Components!O189,M189*(1+EarningsRate))</f>
        <v>14967.872274396439</v>
      </c>
      <c r="O189" s="29">
        <f>'FF Deposit'!O189+IF(Components!P189&gt;0,N189-Components!P189,N189*(1+EarningsRate))</f>
        <v>18152.86719683815</v>
      </c>
      <c r="P189" s="29">
        <f>'FF Deposit'!P189+IF(Components!Q189&gt;0,O189-Components!Q189,O189*(1+EarningsRate))</f>
        <v>3527.6530985655872</v>
      </c>
      <c r="Q189" s="29">
        <f>'FF Deposit'!Q189+IF(Components!R189&gt;0,P189-Components!R189,P189*(1+EarningsRate))</f>
        <v>7130.5197153629015</v>
      </c>
      <c r="R189" s="29">
        <f>'FF Deposit'!R189+IF(Components!S189&gt;0,Q189-Components!S189,Q189*(1+EarningsRate))</f>
        <v>10809.046531112959</v>
      </c>
      <c r="S189" s="29">
        <f>'FF Deposit'!S189+IF(Components!T189&gt;0,R189-Components!T189,R189*(1+EarningsRate))</f>
        <v>14564.822409993769</v>
      </c>
      <c r="T189" s="29">
        <f>'FF Deposit'!T189+IF(Components!U189&gt;0,S189-Components!U189,S189*(1+EarningsRate))</f>
        <v>18399.469582331076</v>
      </c>
      <c r="U189" s="29">
        <f>'FF Deposit'!U189+IF(Components!V189&gt;0,T189-Components!V189,T189*(1+EarningsRate))</f>
        <v>22314.644345287466</v>
      </c>
      <c r="V189" s="29">
        <f>'FF Deposit'!V189+IF(Components!W189&gt;0,U189-Components!W189,U189*(1+EarningsRate))</f>
        <v>4336.4424163984877</v>
      </c>
      <c r="W189" s="29">
        <f>'FF Deposit'!W189+IF(Components!X189&gt;0,V189-Components!X189,V189*(1+EarningsRate))</f>
        <v>8765.3057782538781</v>
      </c>
      <c r="X189" s="29">
        <f>'FF Deposit'!X189+IF(Components!Y189&gt;0,W189-Components!Y189,W189*(1+EarningsRate))</f>
        <v>13287.175270708231</v>
      </c>
      <c r="Y189" s="29">
        <f>'FF Deposit'!Y189+IF(Components!Z189&gt;0,X189-Components!Z189,X189*(1+EarningsRate))</f>
        <v>17904.004022504123</v>
      </c>
      <c r="Z189" s="29">
        <f>'FF Deposit'!Z189+IF(Components!AA189&gt;0,Y189-Components!AA189,Y189*(1+EarningsRate))</f>
        <v>22617.786178087728</v>
      </c>
      <c r="AA189" s="29">
        <f>'FF Deposit'!AA189+IF(Components!AB189&gt;0,Z189-Components!AB189,Z189*(1+EarningsRate))</f>
        <v>27430.55775893859</v>
      </c>
      <c r="AB189" s="29">
        <f>'FF Deposit'!AB189+IF(Components!AC189&gt;0,AA189-Components!AC189,AA189*(1+EarningsRate))</f>
        <v>5330.8071175475498</v>
      </c>
      <c r="AC189" s="29">
        <f>'FF Deposit'!AC189+IF(Components!AD189&gt;0,AB189-Components!AD189,AB189*(1+EarningsRate))</f>
        <v>10775.003425625007</v>
      </c>
      <c r="AD189" s="29">
        <f>'FF Deposit'!AD189+IF(Components!AE189&gt;0,AC189-Components!AE189,AC189*(1+EarningsRate))</f>
        <v>16333.527856172092</v>
      </c>
      <c r="AE189" s="29">
        <f>'FF Deposit'!AE189+IF(Components!AF189&gt;0,AD189-Components!AF189,AD189*(1+EarningsRate))</f>
        <v>22008.781299760663</v>
      </c>
      <c r="AF189" s="29">
        <f>'FF Deposit'!AF189+IF(Components!AG189&gt;0,AE189-Components!AG189,AE189*(1+EarningsRate))</f>
        <v>27803.215065664594</v>
      </c>
      <c r="AG189" s="29">
        <f>'FF Deposit'!AG189+IF(Components!AH189&gt;0,AF189-Components!AH189,AF189*(1+EarningsRate))</f>
        <v>33719.331940652504</v>
      </c>
      <c r="AH189" s="29">
        <f>'FF Deposit'!AH189+IF(Components!AI189&gt;0,AG189-Components!AI189,AG189*(1+EarningsRate))</f>
        <v>6553.8466815497823</v>
      </c>
      <c r="AI189" s="29">
        <f>'FF Deposit'!AI189+IF(Components!AJ189&gt;0,AH189-Components!AJ189,AH189*(1+EarningsRate))</f>
        <v>13245.992202759604</v>
      </c>
      <c r="AJ189" s="29">
        <f>'FF Deposit'!AJ189+IF(Components!AK189&gt;0,AI189-Components!AK189,AI189*(1+EarningsRate))</f>
        <v>20078.672779914832</v>
      </c>
      <c r="AK189" s="29">
        <f>'FF Deposit'!AK189+IF(Components!AL189&gt;0,AJ189-Components!AL189,AJ189*(1+EarningsRate))</f>
        <v>27054.839649190319</v>
      </c>
      <c r="AL189" s="29">
        <f>'FF Deposit'!AL189+IF(Components!AM189&gt;0,AK189-Components!AM189,AK189*(1+EarningsRate))</f>
        <v>34177.50602272059</v>
      </c>
      <c r="AM189" s="29">
        <f>'FF Deposit'!AM189+IF(Components!AN189&gt;0,AL189-Components!AN189,AL189*(1+EarningsRate))</f>
        <v>41449.748390094996</v>
      </c>
      <c r="AN189" s="29">
        <f>'FF Deposit'!AN189+IF(Components!AO189&gt;0,AM189-Components!AO189,AM189*(1+EarningsRate))</f>
        <v>48874.707847184261</v>
      </c>
      <c r="AO189" s="29">
        <f>'FF Deposit'!AO189+IF(Components!AP189&gt;0,AN189-Components!AP189,AN189*(1+EarningsRate))</f>
        <v>56455.591452872402</v>
      </c>
      <c r="AP189" s="53"/>
    </row>
    <row r="190" spans="1:42" s="1" customFormat="1">
      <c r="A190" s="220" t="str">
        <f>Components!B190</f>
        <v>Sealcoat</v>
      </c>
      <c r="B190" s="220" t="str">
        <f>Components!C190</f>
        <v>Parking Lot - Shop</v>
      </c>
      <c r="C190" s="211"/>
      <c r="D190" s="211"/>
      <c r="E190" s="82">
        <f>AnalysisYear-Components!I190-Components!J190</f>
        <v>2</v>
      </c>
      <c r="F190" s="82">
        <f>IF(H190&lt;0,Components!K190-MOD(AnalysisYear-Components!I190-Components!J190,Components!K190),AnalysisYear-Components!I190-Components!J190)</f>
        <v>2</v>
      </c>
      <c r="G190" s="11">
        <f>ROUND(Components!H190*IF(H190&lt;0,((1+InflationRate)^F190),((1+InflationRate)^H190)),0)</f>
        <v>9859</v>
      </c>
      <c r="H190" s="82">
        <f>IF(E190&gt;=0,Components!K190-E190,E190)</f>
        <v>4</v>
      </c>
      <c r="I190" s="82"/>
      <c r="J190" s="211"/>
      <c r="K190" s="29">
        <f>IF($H190&gt;0,FV(EarningsRate,F190,-'FF Deposit'!L190,1),Components!$H190)</f>
        <v>3149.6793739912391</v>
      </c>
      <c r="L190" s="29">
        <f>'FF Deposit'!L190+IF(Components!M190&gt;0,K190-Components!M190,K190*(1+EarningsRate))</f>
        <v>4774.8141376245003</v>
      </c>
      <c r="M190" s="29">
        <f>'FF Deposit'!M190+IF(Components!N190&gt;0,L190-Components!N190,L190*(1+EarningsRate))</f>
        <v>6434.0767312940598</v>
      </c>
      <c r="N190" s="29">
        <f>'FF Deposit'!N190+IF(Components!O190&gt;0,M190-Components!O190,M190*(1+EarningsRate))</f>
        <v>8128.1838394306806</v>
      </c>
      <c r="O190" s="29">
        <f>'FF Deposit'!O190+IF(Components!P190&gt;0,N190-Components!P190,N190*(1+EarningsRate))</f>
        <v>9857.8671968381695</v>
      </c>
      <c r="P190" s="29">
        <f>'FF Deposit'!P190+IF(Components!Q190&gt;0,O190-Components!Q190,O190*(1+EarningsRate))</f>
        <v>1915.2657979801108</v>
      </c>
      <c r="Q190" s="29">
        <f>'FF Deposit'!Q190+IF(Components!R190&gt;0,P190-Components!R190,P190*(1+EarningsRate))</f>
        <v>3871.884980879634</v>
      </c>
      <c r="R190" s="29">
        <f>'FF Deposit'!R190+IF(Components!S190&gt;0,Q190-Components!S190,Q190*(1+EarningsRate))</f>
        <v>5869.5931666200477</v>
      </c>
      <c r="S190" s="29">
        <f>'FF Deposit'!S190+IF(Components!T190&gt;0,R190-Components!T190,R190*(1+EarningsRate))</f>
        <v>7909.2532242610096</v>
      </c>
      <c r="T190" s="29">
        <f>'FF Deposit'!T190+IF(Components!U190&gt;0,S190-Components!U190,S190*(1+EarningsRate))</f>
        <v>9991.746143112432</v>
      </c>
      <c r="U190" s="29">
        <f>'FF Deposit'!U190+IF(Components!V190&gt;0,T190-Components!V190,T190*(1+EarningsRate))</f>
        <v>12117.971413259735</v>
      </c>
      <c r="V190" s="29">
        <f>'FF Deposit'!V190+IF(Components!W190&gt;0,U190-Components!W190,U190*(1+EarningsRate))</f>
        <v>2354.6702313182791</v>
      </c>
      <c r="W190" s="29">
        <f>'FF Deposit'!W190+IF(Components!X190&gt;0,V190-Components!X190,V190*(1+EarningsRate))</f>
        <v>4759.817124234507</v>
      </c>
      <c r="X190" s="29">
        <f>'FF Deposit'!X190+IF(Components!Y190&gt;0,W190-Components!Y190,W190*(1+EarningsRate))</f>
        <v>7215.4721019019762</v>
      </c>
      <c r="Y190" s="29">
        <f>'FF Deposit'!Y190+IF(Components!Z190&gt;0,X190-Components!Z190,X190*(1+EarningsRate))</f>
        <v>9722.6958341004611</v>
      </c>
      <c r="Z190" s="29">
        <f>'FF Deposit'!Z190+IF(Components!AA190&gt;0,Y190-Components!AA190,Y190*(1+EarningsRate))</f>
        <v>12282.571264675114</v>
      </c>
      <c r="AA190" s="29">
        <f>'FF Deposit'!AA190+IF(Components!AB190&gt;0,Z190-Components!AB190,Z190*(1+EarningsRate))</f>
        <v>14896.204079291836</v>
      </c>
      <c r="AB190" s="29">
        <f>'FF Deposit'!AB190+IF(Components!AC190&gt;0,AA190-Components!AC190,AA190*(1+EarningsRate))</f>
        <v>2894.0866596562387</v>
      </c>
      <c r="AC190" s="29">
        <f>'FF Deposit'!AC190+IF(Components!AD190&gt;0,AB190-Components!AD190,AB190*(1+EarningsRate))</f>
        <v>5850.7450598734222</v>
      </c>
      <c r="AD190" s="29">
        <f>'FF Deposit'!AD190+IF(Components!AE190&gt;0,AC190-Components!AE190,AC190*(1+EarningsRate))</f>
        <v>8869.4932864951661</v>
      </c>
      <c r="AE190" s="29">
        <f>'FF Deposit'!AE190+IF(Components!AF190&gt;0,AD190-Components!AF190,AD190*(1+EarningsRate))</f>
        <v>11951.635225875967</v>
      </c>
      <c r="AF190" s="29">
        <f>'FF Deposit'!AF190+IF(Components!AG190&gt;0,AE190-Components!AG190,AE190*(1+EarningsRate))</f>
        <v>15098.502145983764</v>
      </c>
      <c r="AG190" s="29">
        <f>'FF Deposit'!AG190+IF(Components!AH190&gt;0,AF190-Components!AH190,AF190*(1+EarningsRate))</f>
        <v>18311.453271413826</v>
      </c>
      <c r="AH190" s="29">
        <f>'FF Deposit'!AH190+IF(Components!AI190&gt;0,AG190-Components!AI190,AG190*(1+EarningsRate))</f>
        <v>3558.145692826989</v>
      </c>
      <c r="AI190" s="29">
        <f>'FF Deposit'!AI190+IF(Components!AJ190&gt;0,AH190-Components!AJ190,AH190*(1+EarningsRate))</f>
        <v>7192.5591737895193</v>
      </c>
      <c r="AJ190" s="29">
        <f>'FF Deposit'!AJ190+IF(Components!AK190&gt;0,AI190-Components!AK190,AI190*(1+EarningsRate))</f>
        <v>10903.295337852262</v>
      </c>
      <c r="AK190" s="29">
        <f>'FF Deposit'!AK190+IF(Components!AL190&gt;0,AJ190-Components!AL190,AJ190*(1+EarningsRate))</f>
        <v>14691.956961360322</v>
      </c>
      <c r="AL190" s="29">
        <f>'FF Deposit'!AL190+IF(Components!AM190&gt;0,AK190-Components!AM190,AK190*(1+EarningsRate))</f>
        <v>18560.180478962051</v>
      </c>
      <c r="AM190" s="29">
        <f>'FF Deposit'!AM190+IF(Components!AN190&gt;0,AL190-Components!AN190,AL190*(1+EarningsRate))</f>
        <v>22509.636690433414</v>
      </c>
      <c r="AN190" s="29">
        <f>'FF Deposit'!AN190+IF(Components!AO190&gt;0,AM190-Components!AO190,AM190*(1+EarningsRate))</f>
        <v>26542.031482345679</v>
      </c>
      <c r="AO190" s="29">
        <f>'FF Deposit'!AO190+IF(Components!AP190&gt;0,AN190-Components!AP190,AN190*(1+EarningsRate))</f>
        <v>30659.106564888098</v>
      </c>
      <c r="AP190" s="53"/>
    </row>
    <row r="191" spans="1:42" s="1" customFormat="1">
      <c r="A191" s="220" t="str">
        <f>Components!B191</f>
        <v>Sealcoat</v>
      </c>
      <c r="B191" s="220" t="str">
        <f>Components!C191</f>
        <v>RV Lot</v>
      </c>
      <c r="C191" s="211"/>
      <c r="D191" s="211"/>
      <c r="E191" s="82">
        <f>AnalysisYear-Components!I191-Components!J191</f>
        <v>5</v>
      </c>
      <c r="F191" s="82">
        <f>IF(H191&lt;0,Components!K191-MOD(AnalysisYear-Components!I191-Components!J191,Components!K191),AnalysisYear-Components!I191-Components!J191)</f>
        <v>5</v>
      </c>
      <c r="G191" s="11">
        <f>ROUND(Components!H191*IF(H191&lt;0,((1+InflationRate)^F191),((1+InflationRate)^H191)),0)</f>
        <v>22579</v>
      </c>
      <c r="H191" s="82">
        <f>IF(E191&gt;=0,Components!K191-E191,E191)</f>
        <v>1</v>
      </c>
      <c r="I191" s="82"/>
      <c r="J191" s="211"/>
      <c r="K191" s="29">
        <f>IF($H191&gt;0,FV(EarningsRate,F191,-'FF Deposit'!L191,1),Components!$H191)</f>
        <v>18616.530661945915</v>
      </c>
      <c r="L191" s="29">
        <f>'FF Deposit'!L191+IF(Components!M191&gt;0,K191-Components!M191,K191*(1+EarningsRate))</f>
        <v>22577.867196838066</v>
      </c>
      <c r="M191" s="29">
        <f>'FF Deposit'!M191+IF(Components!N191&gt;0,L191-Components!N191,L191*(1+EarningsRate))</f>
        <v>4387.7873728380546</v>
      </c>
      <c r="N191" s="29">
        <f>'FF Deposit'!N191+IF(Components!O191&gt;0,M191-Components!O191,M191*(1+EarningsRate))</f>
        <v>8868.8510836676433</v>
      </c>
      <c r="O191" s="29">
        <f>'FF Deposit'!O191+IF(Components!P191&gt;0,N191-Components!P191,N191*(1+EarningsRate))</f>
        <v>13444.017132424651</v>
      </c>
      <c r="P191" s="29">
        <f>'FF Deposit'!P191+IF(Components!Q191&gt;0,O191-Components!Q191,O191*(1+EarningsRate))</f>
        <v>18115.261668205556</v>
      </c>
      <c r="Q191" s="29">
        <f>'FF Deposit'!Q191+IF(Components!R191&gt;0,P191-Components!R191,P191*(1+EarningsRate))</f>
        <v>22884.602339237859</v>
      </c>
      <c r="R191" s="29">
        <f>'FF Deposit'!R191+IF(Components!S191&gt;0,Q191-Components!S191,Q191*(1+EarningsRate))</f>
        <v>27754.09916436184</v>
      </c>
      <c r="S191" s="29">
        <f>'FF Deposit'!S191+IF(Components!T191&gt;0,R191-Components!T191,R191*(1+EarningsRate))</f>
        <v>5393.3278461039763</v>
      </c>
      <c r="T191" s="29">
        <f>'FF Deposit'!T191+IF(Components!U191&gt;0,S191-Components!U191,S191*(1+EarningsRate))</f>
        <v>10901.816412614295</v>
      </c>
      <c r="U191" s="29">
        <f>'FF Deposit'!U191+IF(Components!V191&gt;0,T191-Components!V191,T191*(1+EarningsRate))</f>
        <v>16525.983239021331</v>
      </c>
      <c r="V191" s="29">
        <f>'FF Deposit'!V191+IF(Components!W191&gt;0,U191-Components!W191,U191*(1+EarningsRate))</f>
        <v>22268.257568782916</v>
      </c>
      <c r="W191" s="29">
        <f>'FF Deposit'!W191+IF(Components!X191&gt;0,V191-Components!X191,V191*(1+EarningsRate))</f>
        <v>28131.119659469492</v>
      </c>
      <c r="X191" s="29">
        <f>'FF Deposit'!X191+IF(Components!Y191&gt;0,W191-Components!Y191,W191*(1+EarningsRate))</f>
        <v>34117.101854060485</v>
      </c>
      <c r="Y191" s="29">
        <f>'FF Deposit'!Y191+IF(Components!Z191&gt;0,X191-Components!Z191,X191*(1+EarningsRate))</f>
        <v>6630.1744651125091</v>
      </c>
      <c r="Z191" s="29">
        <f>'FF Deposit'!Z191+IF(Components!AA191&gt;0,Y191-Components!AA191,Y191*(1+EarningsRate))</f>
        <v>13401.480739931896</v>
      </c>
      <c r="AA191" s="29">
        <f>'FF Deposit'!AA191+IF(Components!AB191&gt;0,Z191-Components!AB191,Z191*(1+EarningsRate))</f>
        <v>20314.984446522489</v>
      </c>
      <c r="AB191" s="29">
        <f>'FF Deposit'!AB191+IF(Components!AC191&gt;0,AA191-Components!AC191,AA191*(1+EarningsRate))</f>
        <v>27373.671730951482</v>
      </c>
      <c r="AC191" s="29">
        <f>'FF Deposit'!AC191+IF(Components!AD191&gt;0,AB191-Components!AD191,AB191*(1+EarningsRate))</f>
        <v>34580.591448353487</v>
      </c>
      <c r="AD191" s="29">
        <f>'FF Deposit'!AD191+IF(Components!AE191&gt;0,AC191-Components!AE191,AC191*(1+EarningsRate))</f>
        <v>41938.856479820934</v>
      </c>
      <c r="AE191" s="29">
        <f>'FF Deposit'!AE191+IF(Components!AF191&gt;0,AD191-Components!AF191,AD191*(1+EarningsRate))</f>
        <v>8150.3743549090914</v>
      </c>
      <c r="AF191" s="29">
        <f>'FF Deposit'!AF191+IF(Components!AG191&gt;0,AE191-Components!AG191,AE191*(1+EarningsRate))</f>
        <v>16474.050091450339</v>
      </c>
      <c r="AG191" s="29">
        <f>'FF Deposit'!AG191+IF(Components!AH191&gt;0,AF191-Components!AH191,AF191*(1+EarningsRate))</f>
        <v>24972.523018458953</v>
      </c>
      <c r="AH191" s="29">
        <f>'FF Deposit'!AH191+IF(Components!AI191&gt;0,AG191-Components!AI191,AG191*(1+EarningsRate))</f>
        <v>33649.463876934744</v>
      </c>
      <c r="AI191" s="29">
        <f>'FF Deposit'!AI191+IF(Components!AJ191&gt;0,AH191-Components!AJ191,AH191*(1+EarningsRate))</f>
        <v>42508.620493438531</v>
      </c>
      <c r="AJ191" s="29">
        <f>'FF Deposit'!AJ191+IF(Components!AK191&gt;0,AI191-Components!AK191,AI191*(1+EarningsRate))</f>
        <v>51553.819398888896</v>
      </c>
      <c r="AK191" s="29">
        <f>'FF Deposit'!AK191+IF(Components!AL191&gt;0,AJ191-Components!AL191,AJ191*(1+EarningsRate))</f>
        <v>60788.96748135372</v>
      </c>
      <c r="AL191" s="29">
        <f>'FF Deposit'!AL191+IF(Components!AM191&gt;0,AK191-Components!AM191,AK191*(1+EarningsRate))</f>
        <v>70218.053673550297</v>
      </c>
      <c r="AM191" s="29">
        <f>'FF Deposit'!AM191+IF(Components!AN191&gt;0,AL191-Components!AN191,AL191*(1+EarningsRate))</f>
        <v>79845.150675783007</v>
      </c>
      <c r="AN191" s="29">
        <f>'FF Deposit'!AN191+IF(Components!AO191&gt;0,AM191-Components!AO191,AM191*(1+EarningsRate))</f>
        <v>89674.416715062602</v>
      </c>
      <c r="AO191" s="29">
        <f>'FF Deposit'!AO191+IF(Components!AP191&gt;0,AN191-Components!AP191,AN191*(1+EarningsRate))</f>
        <v>99710.097341167071</v>
      </c>
      <c r="AP191" s="53"/>
    </row>
    <row r="192" spans="1:42" s="1" customFormat="1" ht="4" customHeight="1" thickBot="1">
      <c r="A192" s="115"/>
      <c r="B192" s="115"/>
      <c r="E192" s="82"/>
      <c r="F192" s="82"/>
      <c r="G192" s="11"/>
      <c r="H192" s="82"/>
      <c r="I192" s="82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53"/>
    </row>
    <row r="193" spans="1:42" s="1" customFormat="1" ht="16" thickBot="1">
      <c r="A193" s="127" t="s">
        <v>168</v>
      </c>
      <c r="B193" s="127"/>
      <c r="E193" s="3"/>
      <c r="F193" s="3"/>
      <c r="G193" s="89">
        <f>SUM(G2:G192)</f>
        <v>10743637</v>
      </c>
      <c r="H193" s="3"/>
      <c r="I193" s="3"/>
      <c r="K193" s="89">
        <f t="shared" ref="K193:AO193" si="0">SUM(K2:K192)</f>
        <v>4295638.8967208331</v>
      </c>
      <c r="L193" s="89">
        <f t="shared" si="0"/>
        <v>4540190.1268827934</v>
      </c>
      <c r="M193" s="89">
        <f t="shared" si="0"/>
        <v>4957339.4529672628</v>
      </c>
      <c r="N193" s="89">
        <f t="shared" si="0"/>
        <v>4913009.6805438837</v>
      </c>
      <c r="O193" s="89">
        <f t="shared" si="0"/>
        <v>5216261.0969951786</v>
      </c>
      <c r="P193" s="89">
        <f t="shared" si="0"/>
        <v>5369008.6957606561</v>
      </c>
      <c r="Q193" s="89">
        <f t="shared" si="0"/>
        <v>5964200.356723533</v>
      </c>
      <c r="R193" s="89">
        <f t="shared" si="0"/>
        <v>6497379.8820042508</v>
      </c>
      <c r="S193" s="89">
        <f t="shared" si="0"/>
        <v>5576753.6498235241</v>
      </c>
      <c r="T193" s="89">
        <f t="shared" si="0"/>
        <v>5949558.5763535472</v>
      </c>
      <c r="U193" s="89">
        <f t="shared" si="0"/>
        <v>6542340.771614342</v>
      </c>
      <c r="V193" s="89">
        <f t="shared" si="0"/>
        <v>6959998.6971903741</v>
      </c>
      <c r="W193" s="89">
        <f t="shared" si="0"/>
        <v>7303159.5710704755</v>
      </c>
      <c r="X193" s="89">
        <f t="shared" si="0"/>
        <v>6982402.5980313038</v>
      </c>
      <c r="Y193" s="89">
        <f t="shared" si="0"/>
        <v>7548261.7783813886</v>
      </c>
      <c r="Z193" s="89">
        <f t="shared" si="0"/>
        <v>8182776.9593769889</v>
      </c>
      <c r="AA193" s="89">
        <f t="shared" si="0"/>
        <v>8563146.5769410729</v>
      </c>
      <c r="AB193" s="89">
        <f t="shared" si="0"/>
        <v>8105821.1285007028</v>
      </c>
      <c r="AC193" s="89">
        <f t="shared" si="0"/>
        <v>7956985.1993203042</v>
      </c>
      <c r="AD193" s="89">
        <f t="shared" si="0"/>
        <v>8342001.0957419556</v>
      </c>
      <c r="AE193" s="89">
        <f t="shared" si="0"/>
        <v>8575583.3745711483</v>
      </c>
      <c r="AF193" s="89">
        <f t="shared" si="0"/>
        <v>9124818.8094990328</v>
      </c>
      <c r="AG193" s="89">
        <f t="shared" si="0"/>
        <v>10001801.674126683</v>
      </c>
      <c r="AH193" s="89">
        <f t="shared" si="0"/>
        <v>7726208.1784094749</v>
      </c>
      <c r="AI193" s="89">
        <f t="shared" si="0"/>
        <v>8322444.7634091442</v>
      </c>
      <c r="AJ193" s="89">
        <f t="shared" si="0"/>
        <v>8651909.4760097861</v>
      </c>
      <c r="AK193" s="89">
        <f t="shared" si="0"/>
        <v>9606785.4739978462</v>
      </c>
      <c r="AL193" s="89">
        <f t="shared" si="0"/>
        <v>10522945.597111026</v>
      </c>
      <c r="AM193" s="89">
        <f t="shared" si="0"/>
        <v>11611977.900337299</v>
      </c>
      <c r="AN193" s="89">
        <f t="shared" si="0"/>
        <v>11920645.079108547</v>
      </c>
      <c r="AO193" s="89">
        <f t="shared" si="0"/>
        <v>13066334.653536312</v>
      </c>
      <c r="AP193" s="53"/>
    </row>
    <row r="194" spans="1:42" ht="16" thickBot="1">
      <c r="A194" s="115" t="s">
        <v>169</v>
      </c>
      <c r="C194" s="29"/>
      <c r="D194" s="29"/>
      <c r="E194" s="82"/>
      <c r="F194" s="82"/>
      <c r="G194" s="95"/>
      <c r="H194" s="29"/>
      <c r="I194" s="29"/>
      <c r="J194" s="29"/>
      <c r="K194" s="60">
        <f>SUMMARY!D19</f>
        <v>0</v>
      </c>
      <c r="L194" s="60">
        <f>SUMMARY!E19</f>
        <v>0</v>
      </c>
      <c r="M194" s="60">
        <f>SUMMARY!F19</f>
        <v>0</v>
      </c>
      <c r="N194" s="60">
        <f>SUMMARY!G19</f>
        <v>0</v>
      </c>
      <c r="O194" s="60">
        <f>SUMMARY!H19</f>
        <v>0</v>
      </c>
      <c r="P194" s="60">
        <f>SUMMARY!I19</f>
        <v>0</v>
      </c>
      <c r="Q194" s="60">
        <f>SUMMARY!J19</f>
        <v>0</v>
      </c>
      <c r="R194" s="60">
        <f>SUMMARY!K19</f>
        <v>0</v>
      </c>
      <c r="S194" s="60">
        <f>SUMMARY!L19</f>
        <v>0</v>
      </c>
      <c r="T194" s="60">
        <f>SUMMARY!M19</f>
        <v>0</v>
      </c>
      <c r="U194" s="60">
        <f>SUMMARY!N19</f>
        <v>0</v>
      </c>
      <c r="V194" s="60">
        <f>SUMMARY!O19</f>
        <v>0</v>
      </c>
      <c r="W194" s="60">
        <f>SUMMARY!P19</f>
        <v>0</v>
      </c>
      <c r="X194" s="60">
        <f>SUMMARY!Q19</f>
        <v>0</v>
      </c>
      <c r="Y194" s="60">
        <f>SUMMARY!R19</f>
        <v>0</v>
      </c>
      <c r="Z194" s="60">
        <f>SUMMARY!S19</f>
        <v>0</v>
      </c>
      <c r="AA194" s="60">
        <f>SUMMARY!T19</f>
        <v>0</v>
      </c>
      <c r="AB194" s="60">
        <f>SUMMARY!U19</f>
        <v>0</v>
      </c>
      <c r="AC194" s="60">
        <f>SUMMARY!V19</f>
        <v>0</v>
      </c>
      <c r="AD194" s="60">
        <f>SUMMARY!W19</f>
        <v>0</v>
      </c>
      <c r="AE194" s="60">
        <f>SUMMARY!X19</f>
        <v>0</v>
      </c>
      <c r="AF194" s="60">
        <f>SUMMARY!Y19</f>
        <v>0</v>
      </c>
      <c r="AG194" s="60">
        <f>SUMMARY!Z19</f>
        <v>0</v>
      </c>
      <c r="AH194" s="60">
        <f>SUMMARY!AA19</f>
        <v>0</v>
      </c>
      <c r="AI194" s="60">
        <f>SUMMARY!AB19</f>
        <v>0</v>
      </c>
      <c r="AJ194" s="60">
        <f>SUMMARY!AC19</f>
        <v>0</v>
      </c>
      <c r="AK194" s="60">
        <f>SUMMARY!AD19</f>
        <v>0</v>
      </c>
      <c r="AL194" s="60">
        <f>SUMMARY!AE19</f>
        <v>0</v>
      </c>
      <c r="AM194" s="60">
        <f>SUMMARY!AF19</f>
        <v>0</v>
      </c>
      <c r="AN194" s="60">
        <f>SUMMARY!AG19</f>
        <v>0</v>
      </c>
      <c r="AO194" s="60">
        <f>SUMMARY!AH19</f>
        <v>0</v>
      </c>
    </row>
    <row r="195" spans="1:42" s="1" customFormat="1" ht="16" thickBot="1">
      <c r="A195" s="127" t="s">
        <v>170</v>
      </c>
      <c r="B195" s="127"/>
      <c r="E195" s="3"/>
      <c r="F195" s="3"/>
      <c r="G195" s="89">
        <f>G193+G194</f>
        <v>10743637</v>
      </c>
      <c r="H195" s="3"/>
      <c r="I195" s="3"/>
      <c r="K195" s="89">
        <f>K193+K194</f>
        <v>4295638.8967208331</v>
      </c>
      <c r="L195" s="89">
        <f t="shared" ref="L195:AO195" si="1">L193+L194</f>
        <v>4540190.1268827934</v>
      </c>
      <c r="M195" s="89">
        <f t="shared" si="1"/>
        <v>4957339.4529672628</v>
      </c>
      <c r="N195" s="89">
        <f t="shared" si="1"/>
        <v>4913009.6805438837</v>
      </c>
      <c r="O195" s="89">
        <f t="shared" si="1"/>
        <v>5216261.0969951786</v>
      </c>
      <c r="P195" s="89">
        <f t="shared" si="1"/>
        <v>5369008.6957606561</v>
      </c>
      <c r="Q195" s="89">
        <f t="shared" si="1"/>
        <v>5964200.356723533</v>
      </c>
      <c r="R195" s="89">
        <f t="shared" si="1"/>
        <v>6497379.8820042508</v>
      </c>
      <c r="S195" s="89">
        <f t="shared" si="1"/>
        <v>5576753.6498235241</v>
      </c>
      <c r="T195" s="89">
        <f t="shared" si="1"/>
        <v>5949558.5763535472</v>
      </c>
      <c r="U195" s="89">
        <f t="shared" si="1"/>
        <v>6542340.771614342</v>
      </c>
      <c r="V195" s="89">
        <f t="shared" si="1"/>
        <v>6959998.6971903741</v>
      </c>
      <c r="W195" s="89">
        <f t="shared" si="1"/>
        <v>7303159.5710704755</v>
      </c>
      <c r="X195" s="89">
        <f t="shared" si="1"/>
        <v>6982402.5980313038</v>
      </c>
      <c r="Y195" s="89">
        <f t="shared" si="1"/>
        <v>7548261.7783813886</v>
      </c>
      <c r="Z195" s="89">
        <f t="shared" si="1"/>
        <v>8182776.9593769889</v>
      </c>
      <c r="AA195" s="89">
        <f t="shared" si="1"/>
        <v>8563146.5769410729</v>
      </c>
      <c r="AB195" s="89">
        <f t="shared" si="1"/>
        <v>8105821.1285007028</v>
      </c>
      <c r="AC195" s="89">
        <f t="shared" si="1"/>
        <v>7956985.1993203042</v>
      </c>
      <c r="AD195" s="89">
        <f t="shared" si="1"/>
        <v>8342001.0957419556</v>
      </c>
      <c r="AE195" s="89">
        <f t="shared" si="1"/>
        <v>8575583.3745711483</v>
      </c>
      <c r="AF195" s="89">
        <f t="shared" si="1"/>
        <v>9124818.8094990328</v>
      </c>
      <c r="AG195" s="89">
        <f t="shared" si="1"/>
        <v>10001801.674126683</v>
      </c>
      <c r="AH195" s="89">
        <f t="shared" si="1"/>
        <v>7726208.1784094749</v>
      </c>
      <c r="AI195" s="89">
        <f t="shared" si="1"/>
        <v>8322444.7634091442</v>
      </c>
      <c r="AJ195" s="89">
        <f t="shared" si="1"/>
        <v>8651909.4760097861</v>
      </c>
      <c r="AK195" s="89">
        <f t="shared" si="1"/>
        <v>9606785.4739978462</v>
      </c>
      <c r="AL195" s="89">
        <f t="shared" si="1"/>
        <v>10522945.597111026</v>
      </c>
      <c r="AM195" s="89">
        <f t="shared" si="1"/>
        <v>11611977.900337299</v>
      </c>
      <c r="AN195" s="89">
        <f t="shared" si="1"/>
        <v>11920645.079108547</v>
      </c>
      <c r="AO195" s="89">
        <f t="shared" si="1"/>
        <v>13066334.653536312</v>
      </c>
      <c r="AP195" s="53"/>
    </row>
    <row r="196" spans="1:42" s="1" customFormat="1" ht="15" customHeight="1">
      <c r="A196" s="115" t="s">
        <v>171</v>
      </c>
      <c r="B196" s="115"/>
      <c r="E196" s="3"/>
      <c r="F196" s="3"/>
      <c r="H196" s="3"/>
      <c r="I196" s="3"/>
      <c r="K196" s="3"/>
      <c r="L196" s="50">
        <f>L195/K195-1</f>
        <v>5.6930118206314662E-2</v>
      </c>
      <c r="M196" s="50">
        <f>M195/L195-1</f>
        <v>9.1879263737106198E-2</v>
      </c>
      <c r="N196" s="50">
        <f t="shared" ref="N196:AO196" si="2">N195/M195-1</f>
        <v>-8.9422507463847722E-3</v>
      </c>
      <c r="O196" s="50">
        <f t="shared" si="2"/>
        <v>6.1724164243397883E-2</v>
      </c>
      <c r="P196" s="50">
        <f t="shared" si="2"/>
        <v>2.9282966462983895E-2</v>
      </c>
      <c r="Q196" s="50">
        <f t="shared" si="2"/>
        <v>0.11085690016349514</v>
      </c>
      <c r="R196" s="50">
        <f t="shared" si="2"/>
        <v>8.9396648903596443E-2</v>
      </c>
      <c r="S196" s="50">
        <f t="shared" si="2"/>
        <v>-0.14169192026628752</v>
      </c>
      <c r="T196" s="50">
        <f t="shared" si="2"/>
        <v>6.6849810828889744E-2</v>
      </c>
      <c r="U196" s="50">
        <f t="shared" si="2"/>
        <v>9.9634651487725545E-2</v>
      </c>
      <c r="V196" s="50">
        <f t="shared" si="2"/>
        <v>6.3839219043457796E-2</v>
      </c>
      <c r="W196" s="50">
        <f t="shared" si="2"/>
        <v>4.930473248775602E-2</v>
      </c>
      <c r="X196" s="50">
        <f t="shared" si="2"/>
        <v>-4.3920301879992518E-2</v>
      </c>
      <c r="Y196" s="50">
        <f t="shared" si="2"/>
        <v>8.1040755299562672E-2</v>
      </c>
      <c r="Z196" s="50">
        <f t="shared" si="2"/>
        <v>8.4061099048377441E-2</v>
      </c>
      <c r="AA196" s="50">
        <f t="shared" si="2"/>
        <v>4.648417272674199E-2</v>
      </c>
      <c r="AB196" s="50">
        <f t="shared" si="2"/>
        <v>-5.3406238504881021E-2</v>
      </c>
      <c r="AC196" s="50">
        <f t="shared" si="2"/>
        <v>-1.8361610356423919E-2</v>
      </c>
      <c r="AD196" s="50">
        <f t="shared" si="2"/>
        <v>4.8387157544862669E-2</v>
      </c>
      <c r="AE196" s="50">
        <f t="shared" si="2"/>
        <v>2.8000748998753044E-2</v>
      </c>
      <c r="AF196" s="50">
        <f t="shared" si="2"/>
        <v>6.4046422375941381E-2</v>
      </c>
      <c r="AG196" s="50">
        <f t="shared" si="2"/>
        <v>9.6109619592084528E-2</v>
      </c>
      <c r="AH196" s="50">
        <f t="shared" si="2"/>
        <v>-0.22751835817779331</v>
      </c>
      <c r="AI196" s="50">
        <f t="shared" si="2"/>
        <v>7.7170660074346031E-2</v>
      </c>
      <c r="AJ196" s="50">
        <f t="shared" si="2"/>
        <v>3.9587491652594897E-2</v>
      </c>
      <c r="AK196" s="50">
        <f t="shared" si="2"/>
        <v>0.1103659256532632</v>
      </c>
      <c r="AL196" s="50">
        <f t="shared" si="2"/>
        <v>9.5365939584359349E-2</v>
      </c>
      <c r="AM196" s="50">
        <f t="shared" si="2"/>
        <v>0.10349120340651163</v>
      </c>
      <c r="AN196" s="50">
        <f t="shared" si="2"/>
        <v>2.6581791786073117E-2</v>
      </c>
      <c r="AO196" s="50">
        <f t="shared" si="2"/>
        <v>9.6109695979090581E-2</v>
      </c>
      <c r="AP196" s="5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workbookViewId="0">
      <selection activeCell="G32" sqref="G32"/>
    </sheetView>
  </sheetViews>
  <sheetFormatPr baseColWidth="10" defaultColWidth="10.83203125" defaultRowHeight="17" x14ac:dyDescent="0"/>
  <cols>
    <col min="1" max="1" width="1.83203125" style="1" customWidth="1"/>
    <col min="2" max="2" width="26.83203125" style="74" customWidth="1"/>
    <col min="3" max="5" width="12.83203125" style="1" customWidth="1"/>
    <col min="6" max="6" width="1.83203125" style="1" customWidth="1"/>
    <col min="7" max="7" width="40.83203125" style="1" customWidth="1"/>
    <col min="8" max="16384" width="10.83203125" style="1"/>
  </cols>
  <sheetData>
    <row r="1" spans="2:10" ht="21">
      <c r="B1" s="285" t="s">
        <v>267</v>
      </c>
      <c r="C1" s="285"/>
      <c r="D1" s="285"/>
      <c r="E1" s="285"/>
    </row>
    <row r="2" spans="2:10">
      <c r="B2" s="286" t="s">
        <v>268</v>
      </c>
      <c r="C2" s="286"/>
      <c r="D2" s="286"/>
      <c r="E2" s="286"/>
    </row>
    <row r="3" spans="2:10" ht="12" customHeight="1"/>
    <row r="4" spans="2:10" ht="18">
      <c r="B4" s="74" t="s">
        <v>279</v>
      </c>
      <c r="C4" s="283" t="str">
        <f>INDEX(Components!B3:B192,MATCH(C5,Components!C3:C192,0))</f>
        <v>Club HVAC</v>
      </c>
      <c r="D4" s="283"/>
      <c r="E4" s="283"/>
    </row>
    <row r="5" spans="2:10" ht="18">
      <c r="B5" s="74" t="s">
        <v>258</v>
      </c>
      <c r="C5" s="283" t="s">
        <v>205</v>
      </c>
      <c r="D5" s="283"/>
      <c r="E5" s="283"/>
      <c r="H5" s="1">
        <f>ROWS(_xlnm.Database)</f>
        <v>192</v>
      </c>
      <c r="I5" s="1" t="str">
        <f>INDEX(Components!B3:B192,MATCH(C5,Components!C3:C192,0))</f>
        <v>Club HVAC</v>
      </c>
      <c r="J5" s="1">
        <f>MATCH(C5,Components!C3:C192,0)</f>
        <v>32</v>
      </c>
    </row>
    <row r="6" spans="2:10">
      <c r="B6" s="74" t="s">
        <v>266</v>
      </c>
      <c r="C6" s="284"/>
      <c r="D6" s="284"/>
      <c r="E6" s="284"/>
    </row>
    <row r="7" spans="2:10" ht="9" customHeight="1"/>
    <row r="8" spans="2:10" ht="18" thickBot="1">
      <c r="B8" s="75" t="s">
        <v>265</v>
      </c>
      <c r="C8" s="76" t="s">
        <v>260</v>
      </c>
      <c r="D8" s="76" t="s">
        <v>261</v>
      </c>
      <c r="E8" s="76" t="s">
        <v>262</v>
      </c>
    </row>
    <row r="9" spans="2:10">
      <c r="B9" s="74" t="s">
        <v>264</v>
      </c>
      <c r="C9" s="1">
        <v>1</v>
      </c>
      <c r="D9" s="1">
        <f>VLOOKUP($C$5,Components!$C$3:$D$192,2,)</f>
        <v>1</v>
      </c>
      <c r="E9" s="11">
        <f>D9-C9</f>
        <v>0</v>
      </c>
      <c r="G9" s="1" t="str">
        <f>IF(D9&gt;C9,"Increased units", IF(C9&gt;D9,"Decreased units","--"))</f>
        <v>--</v>
      </c>
    </row>
    <row r="10" spans="2:10">
      <c r="B10" s="74" t="s">
        <v>283</v>
      </c>
      <c r="C10" s="1">
        <v>2012</v>
      </c>
      <c r="D10" s="1">
        <f>VLOOKUP($C$5,Components!$C$3:$E$192,3,)</f>
        <v>2012</v>
      </c>
      <c r="E10" s="11">
        <f>D10-C10</f>
        <v>0</v>
      </c>
      <c r="G10" s="1" t="str">
        <f>IF(D10&gt;C10,"Cost Year updated", IF(C10&gt;D10,"Check Cost Year again","--"))</f>
        <v>--</v>
      </c>
    </row>
    <row r="11" spans="2:10">
      <c r="B11" s="74" t="s">
        <v>263</v>
      </c>
      <c r="C11" s="11">
        <v>200000</v>
      </c>
      <c r="D11" s="11">
        <f>VLOOKUP($C$5,Components!$C$3:$F$192,4,)/VLOOKUP($C$5,Components!$C$3:$D$192,2,)</f>
        <v>200000</v>
      </c>
      <c r="E11" s="11">
        <f>D11-C11</f>
        <v>0</v>
      </c>
      <c r="G11" s="1" t="str">
        <f>IF(D11&gt;C11,"Unit cost higher", IF(C11&gt;D11,"Unit Cost lower","--"))</f>
        <v>--</v>
      </c>
    </row>
    <row r="12" spans="2:10">
      <c r="B12" s="74" t="s">
        <v>270</v>
      </c>
      <c r="C12" s="1">
        <v>20</v>
      </c>
      <c r="D12" s="11">
        <f>VLOOKUP($C$5,Components!$C$3:$K$192,9,)</f>
        <v>20</v>
      </c>
      <c r="E12" s="11">
        <f t="shared" ref="E12:E27" si="0">D12-C12</f>
        <v>0</v>
      </c>
      <c r="G12" s="1" t="str">
        <f>IF(D12&gt;C12,"Life extended", IF(C12&gt;D12,"Life reduced","--"))</f>
        <v>--</v>
      </c>
    </row>
    <row r="13" spans="2:10">
      <c r="B13" s="74" t="s">
        <v>269</v>
      </c>
      <c r="C13" s="1">
        <v>2012</v>
      </c>
      <c r="D13" s="77">
        <f>VLOOKUP($C$5,Components!$C$3:$K$192,7,)</f>
        <v>2012</v>
      </c>
      <c r="E13" s="11">
        <f t="shared" si="0"/>
        <v>0</v>
      </c>
      <c r="G13" s="1" t="str">
        <f>IF(D13&gt;C13,"Last done updated", IF(C13&gt;D13,"Check Last Done again","--"))</f>
        <v>--</v>
      </c>
    </row>
    <row r="14" spans="2:10">
      <c r="B14" s="74" t="s">
        <v>271</v>
      </c>
      <c r="C14" s="1">
        <v>0</v>
      </c>
      <c r="D14" s="77">
        <f>VLOOKUP($C$5,Components!$C$3:$K$192,8,)</f>
        <v>0</v>
      </c>
      <c r="E14" s="11">
        <f t="shared" ref="E14:E15" si="1">D14-C14</f>
        <v>0</v>
      </c>
      <c r="G14" s="1" t="str">
        <f>IF(D14&gt;C14,"Year(s) next replacement deferred", IF(C14&gt;D14,"Years next replacement done earlier","--"))</f>
        <v>--</v>
      </c>
    </row>
    <row r="15" spans="2:10">
      <c r="B15" s="74" t="s">
        <v>272</v>
      </c>
      <c r="C15" s="78">
        <v>0.31680000000000003</v>
      </c>
      <c r="D15" s="78">
        <f>(1+InflationRate)^(AnalysisYear-D10)-1</f>
        <v>0.3168090369634029</v>
      </c>
      <c r="E15" s="278">
        <f t="shared" si="1"/>
        <v>9.0369634028752976E-6</v>
      </c>
    </row>
    <row r="16" spans="2:10">
      <c r="B16" s="74" t="str">
        <f>AnalysisYear &amp;" Replacement Cost:"</f>
        <v>2020 Replacement Cost:</v>
      </c>
      <c r="C16" s="11">
        <v>263362</v>
      </c>
      <c r="D16" s="11">
        <f>VLOOKUP($C$5,Components!$C$3:$AP$192,6,)</f>
        <v>263361.80739268055</v>
      </c>
      <c r="E16" s="11">
        <f>D16-C16</f>
        <v>-0.19260731944814324</v>
      </c>
    </row>
    <row r="17" spans="2:7" ht="9" customHeight="1">
      <c r="D17" s="11"/>
      <c r="E17" s="11"/>
    </row>
    <row r="18" spans="2:7">
      <c r="B18" s="74" t="s">
        <v>274</v>
      </c>
      <c r="C18" s="1">
        <v>2032</v>
      </c>
      <c r="D18" s="77">
        <f>+D13+D12+D14</f>
        <v>2032</v>
      </c>
      <c r="E18" s="11">
        <f>D18-C18</f>
        <v>0</v>
      </c>
    </row>
    <row r="19" spans="2:7">
      <c r="B19" s="74" t="s">
        <v>273</v>
      </c>
      <c r="C19" s="11">
        <v>397958</v>
      </c>
      <c r="D19" s="11">
        <f>VLOOKUP($C$5,Components!$C$3:$AP$192,11+D13+D12+D14-AnalysisYear,)</f>
        <v>397958</v>
      </c>
      <c r="E19" s="11">
        <f>D19-C19</f>
        <v>0</v>
      </c>
      <c r="G19" s="1" t="str">
        <f>IF(D19&gt;C19,"Next replacement cost increased", IF(C19&gt;D19,"Next replacement cost decreased","--"))</f>
        <v>--</v>
      </c>
    </row>
    <row r="20" spans="2:7">
      <c r="B20" s="74" t="str">
        <f>"Deposit in "&amp;C18&amp;":"</f>
        <v>Deposit in 2032:</v>
      </c>
      <c r="C20" s="11">
        <v>695234.39697602915</v>
      </c>
      <c r="D20" s="11">
        <f>HLOOKUP($C$18,'FF Deposit'!L1:AO193,1+ROWS(_xlnm.Database),)</f>
        <v>693751.02022010472</v>
      </c>
      <c r="E20" s="11">
        <f t="shared" si="0"/>
        <v>-1483.3767559244297</v>
      </c>
      <c r="G20" s="1" t="str">
        <f>IF(D20&gt;C20,"Deposits increased about "&amp;ROUND(E20/2426/12,2), IF(C20&gt;D20,"Deposits decreased about "&amp;-ROUND(E20/2426/12,2),"--"))</f>
        <v>Deposits decreased about 0.05</v>
      </c>
    </row>
    <row r="21" spans="2:7">
      <c r="B21" s="74" t="str">
        <f>"Expenses in "&amp;C18&amp;":"</f>
        <v>Expenses in 2032:</v>
      </c>
      <c r="C21" s="11">
        <v>1143854</v>
      </c>
      <c r="D21" s="11">
        <f>HLOOKUP($C$18,Components!M1:AP193,1+ROWS(_xlnm.Database),)</f>
        <v>1143854</v>
      </c>
      <c r="E21" s="11">
        <f t="shared" si="0"/>
        <v>0</v>
      </c>
    </row>
    <row r="22" spans="2:7">
      <c r="B22" s="74" t="str">
        <f>"Expenses in "&amp;D18&amp;":"</f>
        <v>Expenses in 2032:</v>
      </c>
      <c r="C22" s="11">
        <v>1143854</v>
      </c>
      <c r="D22" s="11">
        <f>HLOOKUP($D$18,Components!M1:AP193,1+ROWS(_xlnm.Database),)</f>
        <v>1143854</v>
      </c>
      <c r="E22" s="11">
        <f t="shared" si="0"/>
        <v>0</v>
      </c>
    </row>
    <row r="23" spans="2:7" ht="9" customHeight="1">
      <c r="D23" s="11"/>
      <c r="E23" s="11"/>
    </row>
    <row r="24" spans="2:7">
      <c r="B24" s="74" t="s">
        <v>276</v>
      </c>
      <c r="C24" s="11">
        <v>24507110.616807144</v>
      </c>
      <c r="D24" s="11">
        <f>'FF Deposit'!$AQ$193</f>
        <v>24494244.881817173</v>
      </c>
      <c r="E24" s="11">
        <f t="shared" si="0"/>
        <v>-12865.734989970922</v>
      </c>
      <c r="G24" s="1" t="str">
        <f>IF(D24&gt;C24,"Need to increase deposits", IF(C24&gt;D24,"Can reduce deposits","--"))</f>
        <v>Can reduce deposits</v>
      </c>
    </row>
    <row r="25" spans="2:7">
      <c r="B25" s="74" t="s">
        <v>275</v>
      </c>
      <c r="C25" s="11">
        <v>19621177.000999998</v>
      </c>
      <c r="D25" s="11">
        <f>Components!AR193</f>
        <v>19601209.000999998</v>
      </c>
      <c r="E25" s="11">
        <f t="shared" si="0"/>
        <v>-19968</v>
      </c>
      <c r="G25" s="1" t="str">
        <f>IF(D25&gt;C25,"Expenses increase", IF(C25&gt;D25,"Expenses decreased","--"))</f>
        <v>Expenses decreased</v>
      </c>
    </row>
    <row r="26" spans="2:7">
      <c r="B26" s="74" t="s">
        <v>259</v>
      </c>
      <c r="C26" s="11">
        <v>13045959.19803768</v>
      </c>
      <c r="D26" s="11">
        <f>'FF Balance'!$AO$193</f>
        <v>13066334.653536312</v>
      </c>
      <c r="E26" s="11">
        <f t="shared" si="0"/>
        <v>20375.455498632044</v>
      </c>
      <c r="G26" s="1" t="str">
        <f>IF(D26&gt;C26,"Balance increased", IF(C26&gt;D26,"Balance decreased","--"))</f>
        <v>Balance increased</v>
      </c>
    </row>
    <row r="27" spans="2:7">
      <c r="B27" s="74" t="s">
        <v>277</v>
      </c>
      <c r="C27" s="11">
        <f>TRUNC((29-(C18-AnalysisYear))/C12)</f>
        <v>0</v>
      </c>
      <c r="D27" s="11">
        <f>TRUNC((29-(D18-AnalysisYear))/D12)</f>
        <v>0</v>
      </c>
      <c r="E27" s="11">
        <f t="shared" si="0"/>
        <v>0</v>
      </c>
      <c r="G27" s="1" t="str">
        <f>IF(D27&gt;C27,"Replacements increased", IF(C27&gt;D27,"Replacements reduced","--"))</f>
        <v>--</v>
      </c>
    </row>
    <row r="28" spans="2:7" ht="9" customHeight="1">
      <c r="D28" s="79"/>
    </row>
    <row r="29" spans="2:7">
      <c r="B29" s="74" t="s">
        <v>278</v>
      </c>
      <c r="C29" s="1" t="s">
        <v>280</v>
      </c>
    </row>
    <row r="30" spans="2:7">
      <c r="C30" s="1" t="s">
        <v>281</v>
      </c>
    </row>
    <row r="31" spans="2:7">
      <c r="C31" s="1" t="s">
        <v>282</v>
      </c>
    </row>
  </sheetData>
  <mergeCells count="5">
    <mergeCell ref="C4:E4"/>
    <mergeCell ref="C5:E5"/>
    <mergeCell ref="C6:E6"/>
    <mergeCell ref="B1:E1"/>
    <mergeCell ref="B2:E2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Control Panel</vt:lpstr>
      <vt:lpstr>Graph Data</vt:lpstr>
      <vt:lpstr>SUMMARY</vt:lpstr>
      <vt:lpstr>HGMD Unit Costs</vt:lpstr>
      <vt:lpstr>Components</vt:lpstr>
      <vt:lpstr>FF Deposit</vt:lpstr>
      <vt:lpstr>FF Balance</vt:lpstr>
      <vt:lpstr>Testing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Ross</dc:creator>
  <cp:lastModifiedBy>John L. Coil</cp:lastModifiedBy>
  <cp:lastPrinted>2020-07-20T01:38:54Z</cp:lastPrinted>
  <dcterms:created xsi:type="dcterms:W3CDTF">2001-06-26T19:00:33Z</dcterms:created>
  <dcterms:modified xsi:type="dcterms:W3CDTF">2020-07-20T01:39:01Z</dcterms:modified>
</cp:coreProperties>
</file>